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3715" windowHeight="9045"/>
  </bookViews>
  <sheets>
    <sheet name="Explanation" sheetId="3" r:id="rId1"/>
    <sheet name="1. Initial Allocation" sheetId="7" r:id="rId2"/>
    <sheet name="2. Budgets + Costs per net" sheetId="5" r:id="rId3"/>
    <sheet name="3. Suggested Allocation" sheetId="6" r:id="rId4"/>
    <sheet name="4. AMF Costs" sheetId="8" r:id="rId5"/>
    <sheet name="5. Maps" sheetId="9" r:id="rId6"/>
    <sheet name="6. Shipping Scenarios" sheetId="10" r:id="rId7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57" i="8" l="1"/>
  <c r="X55" i="8" l="1"/>
  <c r="Y55" i="8"/>
  <c r="U10" i="8" l="1"/>
  <c r="W10" i="8" s="1"/>
  <c r="Y10" i="8" s="1"/>
  <c r="V10" i="8"/>
  <c r="S9" i="8" l="1"/>
  <c r="Y50" i="8"/>
  <c r="Y54" i="8" s="1"/>
  <c r="G22" i="10"/>
  <c r="L6" i="10" l="1"/>
  <c r="L7" i="10"/>
  <c r="F5" i="10" s="1"/>
  <c r="L5" i="10"/>
  <c r="G9" i="10" s="1"/>
  <c r="L8" i="10"/>
  <c r="F8" i="10" l="1"/>
  <c r="F6" i="10"/>
  <c r="F4" i="10"/>
  <c r="F11" i="10"/>
  <c r="F10" i="10"/>
  <c r="F9" i="10"/>
  <c r="F7" i="10"/>
  <c r="G8" i="10"/>
  <c r="G7" i="10"/>
  <c r="G6" i="10"/>
  <c r="G5" i="10"/>
  <c r="G4" i="10"/>
  <c r="G11" i="10"/>
  <c r="G10" i="10"/>
  <c r="D54" i="8" l="1"/>
  <c r="D31" i="8"/>
  <c r="D25" i="8"/>
  <c r="D14" i="8"/>
  <c r="D55" i="8" l="1"/>
  <c r="D57" i="8" s="1"/>
  <c r="Q47" i="8" l="1"/>
  <c r="Q43" i="8"/>
  <c r="Q37" i="8"/>
  <c r="Q20" i="8"/>
  <c r="P44" i="8"/>
  <c r="P45" i="8"/>
  <c r="P46" i="8"/>
  <c r="P38" i="8"/>
  <c r="P39" i="8"/>
  <c r="P40" i="8"/>
  <c r="P41" i="8"/>
  <c r="P42" i="8"/>
  <c r="P32" i="8"/>
  <c r="P33" i="8"/>
  <c r="P34" i="8"/>
  <c r="P35" i="8"/>
  <c r="P36" i="8"/>
  <c r="P20" i="8"/>
  <c r="M54" i="8"/>
  <c r="M47" i="8"/>
  <c r="M43" i="8"/>
  <c r="M37" i="8"/>
  <c r="M31" i="8"/>
  <c r="M25" i="8"/>
  <c r="M20" i="8"/>
  <c r="M14" i="8"/>
  <c r="G53" i="8"/>
  <c r="H53" i="8"/>
  <c r="I53" i="8" s="1"/>
  <c r="S53" i="8"/>
  <c r="T53" i="8" s="1"/>
  <c r="G52" i="8"/>
  <c r="N52" i="8" s="1"/>
  <c r="AA52" i="8" s="1"/>
  <c r="G51" i="8"/>
  <c r="H51" i="8" s="1"/>
  <c r="G50" i="8"/>
  <c r="H50" i="8" s="1"/>
  <c r="G49" i="8"/>
  <c r="H49" i="8"/>
  <c r="S49" i="8"/>
  <c r="T49" i="8" s="1"/>
  <c r="G48" i="8"/>
  <c r="N48" i="8" s="1"/>
  <c r="AA48" i="8" s="1"/>
  <c r="G30" i="8"/>
  <c r="H30" i="8" s="1"/>
  <c r="G29" i="8"/>
  <c r="H29" i="8" s="1"/>
  <c r="G28" i="8"/>
  <c r="H28" i="8"/>
  <c r="I28" i="8" s="1"/>
  <c r="S28" i="8"/>
  <c r="T28" i="8" s="1"/>
  <c r="G27" i="8"/>
  <c r="H27" i="8" s="1"/>
  <c r="G26" i="8"/>
  <c r="H26" i="8" s="1"/>
  <c r="G24" i="8"/>
  <c r="H24" i="8" s="1"/>
  <c r="S24" i="8" s="1"/>
  <c r="G23" i="8"/>
  <c r="H23" i="8"/>
  <c r="I23" i="8" s="1"/>
  <c r="S23" i="8"/>
  <c r="T23" i="8" s="1"/>
  <c r="G22" i="8"/>
  <c r="H22" i="8" s="1"/>
  <c r="G21" i="8"/>
  <c r="H21" i="8" s="1"/>
  <c r="G9" i="8"/>
  <c r="H9" i="8" s="1"/>
  <c r="G10" i="8"/>
  <c r="H10" i="8"/>
  <c r="S10" i="8" s="1"/>
  <c r="T10" i="8" s="1"/>
  <c r="G11" i="8"/>
  <c r="H11" i="8" s="1"/>
  <c r="G12" i="8"/>
  <c r="N12" i="8" s="1"/>
  <c r="AA12" i="8" s="1"/>
  <c r="H12" i="8"/>
  <c r="S12" i="8" s="1"/>
  <c r="T12" i="8" s="1"/>
  <c r="G13" i="8"/>
  <c r="H13" i="8" s="1"/>
  <c r="O47" i="8"/>
  <c r="O43" i="8"/>
  <c r="N38" i="8"/>
  <c r="Y38" i="8" s="1"/>
  <c r="N39" i="8"/>
  <c r="Y39" i="8" s="1"/>
  <c r="N40" i="8"/>
  <c r="Y40" i="8" s="1"/>
  <c r="N41" i="8"/>
  <c r="W41" i="8" s="1"/>
  <c r="N42" i="8"/>
  <c r="U42" i="8" s="1"/>
  <c r="O37" i="8"/>
  <c r="O20" i="8"/>
  <c r="N9" i="8"/>
  <c r="AA9" i="8" s="1"/>
  <c r="O9" i="8"/>
  <c r="N10" i="8"/>
  <c r="AA10" i="8" s="1"/>
  <c r="O10" i="8"/>
  <c r="N28" i="8"/>
  <c r="AA28" i="8" s="1"/>
  <c r="N30" i="8"/>
  <c r="AA30" i="8" s="1"/>
  <c r="O30" i="8"/>
  <c r="N21" i="8"/>
  <c r="N23" i="8"/>
  <c r="AA23" i="8" s="1"/>
  <c r="N24" i="8"/>
  <c r="AA24" i="8" s="1"/>
  <c r="O24" i="8"/>
  <c r="N49" i="8"/>
  <c r="AA49" i="8" s="1"/>
  <c r="N51" i="8"/>
  <c r="AA51" i="8" s="1"/>
  <c r="O51" i="8"/>
  <c r="N53" i="8"/>
  <c r="AA53" i="8" s="1"/>
  <c r="N26" i="8"/>
  <c r="AA26" i="8" s="1"/>
  <c r="O26" i="8"/>
  <c r="G44" i="8"/>
  <c r="H44" i="8" s="1"/>
  <c r="G45" i="8"/>
  <c r="H45" i="8" s="1"/>
  <c r="G39" i="8"/>
  <c r="H39" i="8" s="1"/>
  <c r="G41" i="8"/>
  <c r="H41" i="8" s="1"/>
  <c r="G32" i="8"/>
  <c r="H32" i="8"/>
  <c r="I32" i="8"/>
  <c r="G33" i="8"/>
  <c r="H33" i="8" s="1"/>
  <c r="G34" i="8"/>
  <c r="H34" i="8"/>
  <c r="I34" i="8" s="1"/>
  <c r="G38" i="8"/>
  <c r="H38" i="8" s="1"/>
  <c r="G40" i="8"/>
  <c r="H40" i="8"/>
  <c r="G42" i="8"/>
  <c r="H42" i="8" s="1"/>
  <c r="I42" i="8" s="1"/>
  <c r="G46" i="8"/>
  <c r="H46" i="8" s="1"/>
  <c r="I46" i="8" s="1"/>
  <c r="G35" i="8"/>
  <c r="H35" i="8" s="1"/>
  <c r="G36" i="8"/>
  <c r="H36" i="8"/>
  <c r="I36" i="8" s="1"/>
  <c r="I49" i="8"/>
  <c r="N44" i="8"/>
  <c r="N45" i="8"/>
  <c r="W45" i="8" s="1"/>
  <c r="N46" i="8"/>
  <c r="W46" i="8" s="1"/>
  <c r="N47" i="8"/>
  <c r="N32" i="8"/>
  <c r="N37" i="8" s="1"/>
  <c r="N33" i="8"/>
  <c r="W33" i="8" s="1"/>
  <c r="N34" i="8"/>
  <c r="Y34" i="8" s="1"/>
  <c r="N35" i="8"/>
  <c r="Y35" i="8" s="1"/>
  <c r="N36" i="8"/>
  <c r="N15" i="8"/>
  <c r="Y15" i="8" s="1"/>
  <c r="N16" i="8"/>
  <c r="W16" i="8" s="1"/>
  <c r="N17" i="8"/>
  <c r="W17" i="8" s="1"/>
  <c r="N18" i="8"/>
  <c r="W18" i="8" s="1"/>
  <c r="N19" i="8"/>
  <c r="U49" i="8"/>
  <c r="W49" i="8" s="1"/>
  <c r="U53" i="8"/>
  <c r="W53" i="8" s="1"/>
  <c r="Y44" i="8"/>
  <c r="Y42" i="8"/>
  <c r="Y32" i="8"/>
  <c r="Y33" i="8"/>
  <c r="Y36" i="8"/>
  <c r="U28" i="8"/>
  <c r="W28" i="8" s="1"/>
  <c r="U30" i="8"/>
  <c r="U23" i="8"/>
  <c r="W23" i="8" s="1"/>
  <c r="Y16" i="8"/>
  <c r="Y17" i="8"/>
  <c r="Y18" i="8"/>
  <c r="Y19" i="8"/>
  <c r="U9" i="8"/>
  <c r="W9" i="8"/>
  <c r="W44" i="8"/>
  <c r="W38" i="8"/>
  <c r="W39" i="8"/>
  <c r="W40" i="8"/>
  <c r="W42" i="8"/>
  <c r="W32" i="8"/>
  <c r="W35" i="8"/>
  <c r="W36" i="8"/>
  <c r="W15" i="8"/>
  <c r="W19" i="8"/>
  <c r="U44" i="8"/>
  <c r="U45" i="8"/>
  <c r="U47" i="8" s="1"/>
  <c r="U46" i="8"/>
  <c r="U38" i="8"/>
  <c r="U32" i="8"/>
  <c r="U33" i="8"/>
  <c r="U34" i="8"/>
  <c r="U35" i="8"/>
  <c r="U36" i="8"/>
  <c r="U15" i="8"/>
  <c r="U16" i="8"/>
  <c r="U19" i="8"/>
  <c r="S44" i="8"/>
  <c r="S45" i="8"/>
  <c r="S46" i="8"/>
  <c r="S38" i="8"/>
  <c r="S39" i="8"/>
  <c r="S40" i="8"/>
  <c r="S41" i="8"/>
  <c r="S42" i="8"/>
  <c r="S32" i="8"/>
  <c r="S33" i="8"/>
  <c r="S34" i="8"/>
  <c r="S35" i="8"/>
  <c r="S36" i="8"/>
  <c r="S15" i="8"/>
  <c r="S16" i="8"/>
  <c r="S17" i="8"/>
  <c r="S18" i="8"/>
  <c r="S20" i="8" s="1"/>
  <c r="S19" i="8"/>
  <c r="I20" i="8"/>
  <c r="H20" i="8"/>
  <c r="G54" i="8"/>
  <c r="G47" i="8"/>
  <c r="G31" i="8"/>
  <c r="G25" i="8"/>
  <c r="G20" i="8"/>
  <c r="F54" i="8"/>
  <c r="F47" i="8"/>
  <c r="F43" i="8"/>
  <c r="F37" i="8"/>
  <c r="F31" i="8"/>
  <c r="F25" i="8"/>
  <c r="F20" i="8"/>
  <c r="F14" i="8"/>
  <c r="AI17" i="6"/>
  <c r="X10" i="6"/>
  <c r="X37" i="6"/>
  <c r="AO36" i="6"/>
  <c r="E30" i="5"/>
  <c r="AM46" i="6"/>
  <c r="AM47" i="6"/>
  <c r="AM52" i="6" s="1"/>
  <c r="AM48" i="6"/>
  <c r="AM49" i="6"/>
  <c r="AM50" i="6"/>
  <c r="AM51" i="6"/>
  <c r="E24" i="5"/>
  <c r="E26" i="5" s="1"/>
  <c r="F42" i="6"/>
  <c r="G42" i="6" s="1"/>
  <c r="H42" i="6" s="1"/>
  <c r="F43" i="6"/>
  <c r="AM44" i="6"/>
  <c r="AM36" i="6"/>
  <c r="AM41" i="6" s="1"/>
  <c r="AM37" i="6"/>
  <c r="AM38" i="6"/>
  <c r="AM39" i="6"/>
  <c r="AM40" i="6"/>
  <c r="AM30" i="6"/>
  <c r="AM31" i="6"/>
  <c r="AM32" i="6"/>
  <c r="AM33" i="6"/>
  <c r="AM34" i="6"/>
  <c r="AM24" i="6"/>
  <c r="AM25" i="6"/>
  <c r="AM26" i="6"/>
  <c r="AM27" i="6"/>
  <c r="AM28" i="6"/>
  <c r="AM29" i="6"/>
  <c r="AM19" i="6"/>
  <c r="AM23" i="6" s="1"/>
  <c r="AM20" i="6"/>
  <c r="AM21" i="6"/>
  <c r="AM22" i="6"/>
  <c r="AM13" i="6"/>
  <c r="AM18" i="6" s="1"/>
  <c r="AM14" i="6"/>
  <c r="AM15" i="6"/>
  <c r="AM16" i="6"/>
  <c r="AM17" i="6"/>
  <c r="AM7" i="6"/>
  <c r="AM8" i="6"/>
  <c r="AM9" i="6"/>
  <c r="AM10" i="6"/>
  <c r="AM11" i="6"/>
  <c r="AM58" i="6"/>
  <c r="AK51" i="6"/>
  <c r="AK50" i="6"/>
  <c r="AK49" i="6"/>
  <c r="AK52" i="6" s="1"/>
  <c r="AK48" i="6"/>
  <c r="AK47" i="6"/>
  <c r="AK46" i="6"/>
  <c r="AK44" i="6"/>
  <c r="AK40" i="6"/>
  <c r="AK39" i="6"/>
  <c r="AK38" i="6"/>
  <c r="AK37" i="6"/>
  <c r="AK36" i="6"/>
  <c r="AK41" i="6" s="1"/>
  <c r="AK34" i="6"/>
  <c r="AK35" i="6" s="1"/>
  <c r="AK33" i="6"/>
  <c r="AK32" i="6"/>
  <c r="AK31" i="6"/>
  <c r="AK30" i="6"/>
  <c r="AK28" i="6"/>
  <c r="AK27" i="6"/>
  <c r="AK26" i="6"/>
  <c r="AK25" i="6"/>
  <c r="AK29" i="6" s="1"/>
  <c r="AK24" i="6"/>
  <c r="AK22" i="6"/>
  <c r="AK21" i="6"/>
  <c r="AK20" i="6"/>
  <c r="AK19" i="6"/>
  <c r="AK17" i="6"/>
  <c r="AK16" i="6"/>
  <c r="AK15" i="6"/>
  <c r="AK14" i="6"/>
  <c r="AK13" i="6"/>
  <c r="AK11" i="6"/>
  <c r="AK10" i="6"/>
  <c r="AK9" i="6"/>
  <c r="AK8" i="6"/>
  <c r="AK12" i="6" s="1"/>
  <c r="AK7" i="6"/>
  <c r="AK23" i="6"/>
  <c r="AK18" i="6"/>
  <c r="F46" i="6"/>
  <c r="AO46" i="6"/>
  <c r="F47" i="6"/>
  <c r="G47" i="6" s="1"/>
  <c r="AO47" i="6"/>
  <c r="F48" i="6"/>
  <c r="G48" i="6" s="1"/>
  <c r="AQ48" i="6" s="1"/>
  <c r="AO48" i="6"/>
  <c r="F49" i="6"/>
  <c r="AO49" i="6"/>
  <c r="AR49" i="6" s="1"/>
  <c r="F50" i="6"/>
  <c r="AO50" i="6"/>
  <c r="F51" i="6"/>
  <c r="AO51" i="6"/>
  <c r="F24" i="6"/>
  <c r="F25" i="6"/>
  <c r="AO25" i="6" s="1"/>
  <c r="F26" i="6"/>
  <c r="AO26" i="6"/>
  <c r="F27" i="6"/>
  <c r="AO27" i="6"/>
  <c r="AR27" i="6" s="1"/>
  <c r="F28" i="6"/>
  <c r="F19" i="6"/>
  <c r="AO19" i="6"/>
  <c r="F20" i="6"/>
  <c r="AO20" i="6" s="1"/>
  <c r="F21" i="6"/>
  <c r="G21" i="6" s="1"/>
  <c r="AO21" i="6"/>
  <c r="F22" i="6"/>
  <c r="AO22" i="6"/>
  <c r="F7" i="6"/>
  <c r="AO7" i="6"/>
  <c r="F8" i="6"/>
  <c r="AO8" i="6"/>
  <c r="F9" i="6"/>
  <c r="F10" i="6"/>
  <c r="AO10" i="6" s="1"/>
  <c r="AR10" i="6" s="1"/>
  <c r="F11" i="6"/>
  <c r="AO11" i="6"/>
  <c r="G51" i="6"/>
  <c r="H51" i="6" s="1"/>
  <c r="AQ51" i="6"/>
  <c r="AR51" i="6"/>
  <c r="AS51" i="6"/>
  <c r="G50" i="6"/>
  <c r="AQ50" i="6"/>
  <c r="AR50" i="6"/>
  <c r="AS50" i="6"/>
  <c r="AT50" i="6"/>
  <c r="G49" i="6"/>
  <c r="AQ49" i="6"/>
  <c r="AR48" i="6"/>
  <c r="AR47" i="6"/>
  <c r="AS47" i="6" s="1"/>
  <c r="G46" i="6"/>
  <c r="AR46" i="6"/>
  <c r="AS46" i="6" s="1"/>
  <c r="AO44" i="6"/>
  <c r="AS44" i="6" s="1"/>
  <c r="AO43" i="6"/>
  <c r="AS43" i="6" s="1"/>
  <c r="AS45" i="6" s="1"/>
  <c r="AT43" i="6"/>
  <c r="AO42" i="6"/>
  <c r="AT42" i="6"/>
  <c r="AO40" i="6"/>
  <c r="AT40" i="6" s="1"/>
  <c r="AO39" i="6"/>
  <c r="AT39" i="6" s="1"/>
  <c r="AO38" i="6"/>
  <c r="AS38" i="6" s="1"/>
  <c r="AT38" i="6"/>
  <c r="AO37" i="6"/>
  <c r="AR37" i="6" s="1"/>
  <c r="AT37" i="6"/>
  <c r="AO34" i="6"/>
  <c r="AT34" i="6" s="1"/>
  <c r="AO33" i="6"/>
  <c r="AT33" i="6" s="1"/>
  <c r="AO32" i="6"/>
  <c r="AO35" i="6" s="1"/>
  <c r="AT32" i="6"/>
  <c r="AO31" i="6"/>
  <c r="AT31" i="6"/>
  <c r="AO30" i="6"/>
  <c r="AT30" i="6" s="1"/>
  <c r="G27" i="6"/>
  <c r="AQ27" i="6" s="1"/>
  <c r="G26" i="6"/>
  <c r="H26" i="6" s="1"/>
  <c r="W26" i="6" s="1"/>
  <c r="X26" i="6" s="1"/>
  <c r="AQ26" i="6"/>
  <c r="AT26" i="6" s="1"/>
  <c r="AR26" i="6"/>
  <c r="AS26" i="6"/>
  <c r="G22" i="6"/>
  <c r="AQ22" i="6"/>
  <c r="AR22" i="6"/>
  <c r="G20" i="6"/>
  <c r="G19" i="6"/>
  <c r="AQ19" i="6" s="1"/>
  <c r="AR19" i="6"/>
  <c r="AS19" i="6"/>
  <c r="AO17" i="6"/>
  <c r="AS17" i="6" s="1"/>
  <c r="AO16" i="6"/>
  <c r="AT16" i="6"/>
  <c r="AO15" i="6"/>
  <c r="AS15" i="6" s="1"/>
  <c r="AT15" i="6"/>
  <c r="AO14" i="6"/>
  <c r="AO13" i="6"/>
  <c r="AT13" i="6" s="1"/>
  <c r="G8" i="6"/>
  <c r="AQ8" i="6"/>
  <c r="G11" i="6"/>
  <c r="AQ11" i="6"/>
  <c r="AR11" i="6"/>
  <c r="AS11" i="6" s="1"/>
  <c r="AT11" i="6" s="1"/>
  <c r="G7" i="6"/>
  <c r="AQ7" i="6" s="1"/>
  <c r="AR7" i="6"/>
  <c r="AS7" i="6" s="1"/>
  <c r="AS42" i="6"/>
  <c r="AS40" i="6"/>
  <c r="AS39" i="6"/>
  <c r="AS37" i="6"/>
  <c r="AS34" i="6"/>
  <c r="AS33" i="6"/>
  <c r="AS31" i="6"/>
  <c r="AS30" i="6"/>
  <c r="AS16" i="6"/>
  <c r="AR44" i="6"/>
  <c r="AR43" i="6"/>
  <c r="AR42" i="6"/>
  <c r="AR45" i="6" s="1"/>
  <c r="AR40" i="6"/>
  <c r="AR39" i="6"/>
  <c r="AR34" i="6"/>
  <c r="AR33" i="6"/>
  <c r="AR32" i="6"/>
  <c r="AR31" i="6"/>
  <c r="AR30" i="6"/>
  <c r="AR16" i="6"/>
  <c r="AR15" i="6"/>
  <c r="AR13" i="6"/>
  <c r="AQ44" i="6"/>
  <c r="AQ45" i="6" s="1"/>
  <c r="AQ43" i="6"/>
  <c r="AQ42" i="6"/>
  <c r="AQ40" i="6"/>
  <c r="AQ39" i="6"/>
  <c r="AQ38" i="6"/>
  <c r="AQ37" i="6"/>
  <c r="AQ36" i="6"/>
  <c r="AQ41" i="6" s="1"/>
  <c r="AQ34" i="6"/>
  <c r="AQ33" i="6"/>
  <c r="AQ32" i="6"/>
  <c r="AQ31" i="6"/>
  <c r="AQ30" i="6"/>
  <c r="AQ17" i="6"/>
  <c r="AQ16" i="6"/>
  <c r="AQ18" i="6" s="1"/>
  <c r="AQ15" i="6"/>
  <c r="AQ14" i="6"/>
  <c r="AQ13" i="6"/>
  <c r="AQ35" i="6"/>
  <c r="H50" i="6"/>
  <c r="H49" i="6"/>
  <c r="W49" i="6" s="1"/>
  <c r="X49" i="6" s="1"/>
  <c r="H48" i="6"/>
  <c r="W48" i="6" s="1"/>
  <c r="X48" i="6" s="1"/>
  <c r="H22" i="6"/>
  <c r="W22" i="6" s="1"/>
  <c r="X22" i="6" s="1"/>
  <c r="H19" i="6"/>
  <c r="H11" i="6"/>
  <c r="H8" i="6"/>
  <c r="AO45" i="6"/>
  <c r="T37" i="6"/>
  <c r="T39" i="6"/>
  <c r="T40" i="6"/>
  <c r="T36" i="6"/>
  <c r="T38" i="6"/>
  <c r="T42" i="6"/>
  <c r="T45" i="6" s="1"/>
  <c r="T43" i="6"/>
  <c r="T6" i="6"/>
  <c r="F44" i="6"/>
  <c r="G44" i="6"/>
  <c r="H44" i="6"/>
  <c r="N44" i="6" s="1"/>
  <c r="T44" i="6"/>
  <c r="T30" i="6"/>
  <c r="T31" i="6"/>
  <c r="T32" i="6"/>
  <c r="F33" i="6"/>
  <c r="G33" i="6" s="1"/>
  <c r="H33" i="6" s="1"/>
  <c r="N33" i="6" s="1"/>
  <c r="P33" i="6" s="1"/>
  <c r="T33" i="6"/>
  <c r="F34" i="6"/>
  <c r="H34" i="6" s="1"/>
  <c r="G34" i="6"/>
  <c r="T24" i="6"/>
  <c r="T25" i="6"/>
  <c r="T26" i="6"/>
  <c r="T27" i="6"/>
  <c r="T28" i="6"/>
  <c r="T19" i="6"/>
  <c r="T20" i="6"/>
  <c r="T21" i="6"/>
  <c r="T22" i="6"/>
  <c r="T23" i="6"/>
  <c r="T13" i="6"/>
  <c r="T18" i="6" s="1"/>
  <c r="T14" i="6"/>
  <c r="T15" i="6"/>
  <c r="T16" i="6"/>
  <c r="T17" i="6"/>
  <c r="T7" i="6"/>
  <c r="T12" i="6" s="1"/>
  <c r="T8" i="6"/>
  <c r="T9" i="6"/>
  <c r="T10" i="6"/>
  <c r="T11" i="6"/>
  <c r="U37" i="6"/>
  <c r="U39" i="6"/>
  <c r="U40" i="6"/>
  <c r="U36" i="6"/>
  <c r="U38" i="6"/>
  <c r="U46" i="6"/>
  <c r="U47" i="6"/>
  <c r="U48" i="6"/>
  <c r="U49" i="6"/>
  <c r="U50" i="6"/>
  <c r="U51" i="6"/>
  <c r="U42" i="6"/>
  <c r="U43" i="6"/>
  <c r="U44" i="6"/>
  <c r="U45" i="6"/>
  <c r="U30" i="6"/>
  <c r="U31" i="6"/>
  <c r="U32" i="6"/>
  <c r="U33" i="6"/>
  <c r="U34" i="6"/>
  <c r="U24" i="6"/>
  <c r="U25" i="6"/>
  <c r="U26" i="6"/>
  <c r="U27" i="6"/>
  <c r="U28" i="6"/>
  <c r="U19" i="6"/>
  <c r="U20" i="6"/>
  <c r="U21" i="6"/>
  <c r="U22" i="6"/>
  <c r="U23" i="6"/>
  <c r="U13" i="6"/>
  <c r="U18" i="6" s="1"/>
  <c r="U14" i="6"/>
  <c r="U15" i="6"/>
  <c r="U16" i="6"/>
  <c r="U17" i="6"/>
  <c r="U7" i="6"/>
  <c r="U12" i="6" s="1"/>
  <c r="U8" i="6"/>
  <c r="U9" i="6"/>
  <c r="U10" i="6"/>
  <c r="U11" i="6"/>
  <c r="V37" i="6"/>
  <c r="V39" i="6"/>
  <c r="V40" i="6"/>
  <c r="V36" i="6"/>
  <c r="V41" i="6" s="1"/>
  <c r="V38" i="6"/>
  <c r="V6" i="6"/>
  <c r="V44" i="6"/>
  <c r="V30" i="6"/>
  <c r="V35" i="6" s="1"/>
  <c r="V31" i="6"/>
  <c r="V32" i="6"/>
  <c r="V33" i="6"/>
  <c r="V34" i="6"/>
  <c r="V24" i="6"/>
  <c r="V25" i="6"/>
  <c r="V26" i="6"/>
  <c r="V27" i="6"/>
  <c r="V28" i="6"/>
  <c r="V19" i="6"/>
  <c r="V20" i="6"/>
  <c r="V21" i="6"/>
  <c r="V22" i="6"/>
  <c r="V23" i="6"/>
  <c r="V13" i="6"/>
  <c r="V18" i="6" s="1"/>
  <c r="V14" i="6"/>
  <c r="V15" i="6"/>
  <c r="V16" i="6"/>
  <c r="V17" i="6"/>
  <c r="V7" i="6"/>
  <c r="V12" i="6" s="1"/>
  <c r="V8" i="6"/>
  <c r="V9" i="6"/>
  <c r="V10" i="6"/>
  <c r="V11" i="6"/>
  <c r="W37" i="6"/>
  <c r="W39" i="6"/>
  <c r="X39" i="6" s="1"/>
  <c r="W40" i="6"/>
  <c r="X40" i="6" s="1"/>
  <c r="W36" i="6"/>
  <c r="X36" i="6" s="1"/>
  <c r="W38" i="6"/>
  <c r="X38" i="6" s="1"/>
  <c r="C24" i="5"/>
  <c r="C30" i="5"/>
  <c r="W6" i="6"/>
  <c r="W50" i="6" s="1"/>
  <c r="X50" i="6" s="1"/>
  <c r="W42" i="6"/>
  <c r="X42" i="6" s="1"/>
  <c r="W43" i="6"/>
  <c r="W44" i="6"/>
  <c r="X44" i="6" s="1"/>
  <c r="W30" i="6"/>
  <c r="X30" i="6" s="1"/>
  <c r="W31" i="6"/>
  <c r="X31" i="6" s="1"/>
  <c r="W32" i="6"/>
  <c r="X32" i="6" s="1"/>
  <c r="W33" i="6"/>
  <c r="X33" i="6" s="1"/>
  <c r="W34" i="6"/>
  <c r="X34" i="6" s="1"/>
  <c r="W35" i="6"/>
  <c r="W19" i="6"/>
  <c r="X19" i="6" s="1"/>
  <c r="W20" i="6"/>
  <c r="W13" i="6"/>
  <c r="X13" i="6" s="1"/>
  <c r="W14" i="6"/>
  <c r="X14" i="6" s="1"/>
  <c r="W15" i="6"/>
  <c r="X15" i="6" s="1"/>
  <c r="W16" i="6"/>
  <c r="X16" i="6" s="1"/>
  <c r="W17" i="6"/>
  <c r="X17" i="6" s="1"/>
  <c r="W7" i="6"/>
  <c r="X7" i="6" s="1"/>
  <c r="W8" i="6"/>
  <c r="X8" i="6" s="1"/>
  <c r="W9" i="6"/>
  <c r="X9" i="6" s="1"/>
  <c r="W10" i="6"/>
  <c r="W11" i="6"/>
  <c r="X11" i="6" s="1"/>
  <c r="F37" i="6"/>
  <c r="H37" i="6" s="1"/>
  <c r="G37" i="6"/>
  <c r="C26" i="5"/>
  <c r="P6" i="6"/>
  <c r="P44" i="6" s="1"/>
  <c r="F39" i="6"/>
  <c r="N40" i="6"/>
  <c r="P40" i="6"/>
  <c r="P36" i="6"/>
  <c r="P38" i="6"/>
  <c r="P46" i="6"/>
  <c r="P47" i="6"/>
  <c r="P48" i="6"/>
  <c r="P49" i="6"/>
  <c r="P50" i="6"/>
  <c r="P51" i="6"/>
  <c r="P52" i="6" s="1"/>
  <c r="P42" i="6"/>
  <c r="F30" i="6"/>
  <c r="G30" i="6"/>
  <c r="H30" i="6"/>
  <c r="N30" i="6" s="1"/>
  <c r="F31" i="6"/>
  <c r="G31" i="6" s="1"/>
  <c r="F32" i="6"/>
  <c r="G32" i="6" s="1"/>
  <c r="G35" i="6" s="1"/>
  <c r="P24" i="6"/>
  <c r="P29" i="6" s="1"/>
  <c r="P25" i="6"/>
  <c r="P26" i="6"/>
  <c r="P27" i="6"/>
  <c r="P28" i="6"/>
  <c r="P19" i="6"/>
  <c r="P20" i="6"/>
  <c r="P21" i="6"/>
  <c r="P22" i="6"/>
  <c r="P13" i="6"/>
  <c r="P14" i="6"/>
  <c r="P15" i="6"/>
  <c r="P16" i="6"/>
  <c r="P18" i="6" s="1"/>
  <c r="P7" i="6"/>
  <c r="P12" i="6" s="1"/>
  <c r="P8" i="6"/>
  <c r="P9" i="6"/>
  <c r="P10" i="6"/>
  <c r="P11" i="6"/>
  <c r="W58" i="6"/>
  <c r="AF38" i="6"/>
  <c r="AF6" i="6"/>
  <c r="AF40" i="6"/>
  <c r="AF36" i="6"/>
  <c r="AF42" i="6"/>
  <c r="AF43" i="6"/>
  <c r="AF44" i="6"/>
  <c r="AF45" i="6"/>
  <c r="AF33" i="6"/>
  <c r="AF34" i="6"/>
  <c r="AF24" i="6"/>
  <c r="AF25" i="6"/>
  <c r="AF26" i="6"/>
  <c r="AF27" i="6"/>
  <c r="AF28" i="6"/>
  <c r="AF19" i="6"/>
  <c r="AF20" i="6"/>
  <c r="AF21" i="6"/>
  <c r="AF22" i="6"/>
  <c r="AF23" i="6"/>
  <c r="AF13" i="6"/>
  <c r="AF18" i="6" s="1"/>
  <c r="AF14" i="6"/>
  <c r="AF15" i="6"/>
  <c r="AF16" i="6"/>
  <c r="AF17" i="6"/>
  <c r="AF7" i="6"/>
  <c r="AF8" i="6"/>
  <c r="AF9" i="6"/>
  <c r="AF10" i="6"/>
  <c r="AF11" i="6"/>
  <c r="AG6" i="6"/>
  <c r="F38" i="6"/>
  <c r="G38" i="6"/>
  <c r="H38" i="6" s="1"/>
  <c r="AG37" i="6"/>
  <c r="AG39" i="6"/>
  <c r="F40" i="6"/>
  <c r="G40" i="6"/>
  <c r="H40" i="6"/>
  <c r="AG40" i="6"/>
  <c r="F36" i="6"/>
  <c r="AG46" i="6"/>
  <c r="AG47" i="6"/>
  <c r="AG48" i="6"/>
  <c r="AG49" i="6"/>
  <c r="AG50" i="6"/>
  <c r="AG51" i="6"/>
  <c r="AG42" i="6"/>
  <c r="AG43" i="6"/>
  <c r="AG44" i="6"/>
  <c r="AG45" i="6"/>
  <c r="AG30" i="6"/>
  <c r="AG35" i="6" s="1"/>
  <c r="AG31" i="6"/>
  <c r="AG32" i="6"/>
  <c r="AG33" i="6"/>
  <c r="AG34" i="6"/>
  <c r="AG24" i="6"/>
  <c r="AG29" i="6" s="1"/>
  <c r="AG25" i="6"/>
  <c r="AG26" i="6"/>
  <c r="AG27" i="6"/>
  <c r="AG28" i="6"/>
  <c r="AG19" i="6"/>
  <c r="AG20" i="6"/>
  <c r="AG21" i="6"/>
  <c r="AG22" i="6"/>
  <c r="AG23" i="6" s="1"/>
  <c r="AG13" i="6"/>
  <c r="AG14" i="6"/>
  <c r="AG15" i="6"/>
  <c r="AG17" i="6"/>
  <c r="AG7" i="6"/>
  <c r="AG8" i="6"/>
  <c r="AG9" i="6"/>
  <c r="AG10" i="6"/>
  <c r="AG11" i="6"/>
  <c r="AH38" i="6"/>
  <c r="AI38" i="6" s="1"/>
  <c r="AH37" i="6"/>
  <c r="AI37" i="6" s="1"/>
  <c r="AH39" i="6"/>
  <c r="AI39" i="6" s="1"/>
  <c r="AH40" i="6"/>
  <c r="AI40" i="6" s="1"/>
  <c r="AH36" i="6"/>
  <c r="AH46" i="6"/>
  <c r="AI46" i="6" s="1"/>
  <c r="AI52" i="6" s="1"/>
  <c r="AH47" i="6"/>
  <c r="AI47" i="6" s="1"/>
  <c r="AH48" i="6"/>
  <c r="AI48" i="6" s="1"/>
  <c r="AH49" i="6"/>
  <c r="AI49" i="6" s="1"/>
  <c r="AH50" i="6"/>
  <c r="AI50" i="6" s="1"/>
  <c r="AH51" i="6"/>
  <c r="AI51" i="6" s="1"/>
  <c r="AH52" i="6"/>
  <c r="AH42" i="6"/>
  <c r="AI42" i="6" s="1"/>
  <c r="AH43" i="6"/>
  <c r="AI43" i="6" s="1"/>
  <c r="AH44" i="6"/>
  <c r="AI44" i="6" s="1"/>
  <c r="AH45" i="6"/>
  <c r="AH30" i="6"/>
  <c r="AH31" i="6"/>
  <c r="AI31" i="6" s="1"/>
  <c r="AH32" i="6"/>
  <c r="AI32" i="6" s="1"/>
  <c r="AH33" i="6"/>
  <c r="AI33" i="6" s="1"/>
  <c r="AH34" i="6"/>
  <c r="AI34" i="6" s="1"/>
  <c r="AH24" i="6"/>
  <c r="AI24" i="6" s="1"/>
  <c r="AI29" i="6" s="1"/>
  <c r="AH25" i="6"/>
  <c r="AI25" i="6" s="1"/>
  <c r="AH26" i="6"/>
  <c r="AI26" i="6" s="1"/>
  <c r="AH27" i="6"/>
  <c r="AI27" i="6" s="1"/>
  <c r="AH28" i="6"/>
  <c r="AI28" i="6" s="1"/>
  <c r="AH29" i="6"/>
  <c r="AH19" i="6"/>
  <c r="AI19" i="6" s="1"/>
  <c r="D24" i="5"/>
  <c r="D30" i="5"/>
  <c r="AH6" i="6"/>
  <c r="AH21" i="6"/>
  <c r="AI21" i="6" s="1"/>
  <c r="AH22" i="6"/>
  <c r="AI22" i="6" s="1"/>
  <c r="AH13" i="6"/>
  <c r="AI13" i="6" s="1"/>
  <c r="AH14" i="6"/>
  <c r="AI14" i="6" s="1"/>
  <c r="AH15" i="6"/>
  <c r="AI15" i="6" s="1"/>
  <c r="AH16" i="6"/>
  <c r="AI16" i="6" s="1"/>
  <c r="AH17" i="6"/>
  <c r="AH18" i="6"/>
  <c r="AH8" i="6"/>
  <c r="AI8" i="6" s="1"/>
  <c r="AH11" i="6"/>
  <c r="AI11" i="6" s="1"/>
  <c r="D26" i="5"/>
  <c r="AB6" i="6" s="1"/>
  <c r="AB37" i="6"/>
  <c r="AB39" i="6"/>
  <c r="Z40" i="6"/>
  <c r="AB40" i="6"/>
  <c r="AB46" i="6"/>
  <c r="AB47" i="6"/>
  <c r="AB48" i="6"/>
  <c r="AB49" i="6"/>
  <c r="AB50" i="6"/>
  <c r="AB51" i="6"/>
  <c r="AB52" i="6"/>
  <c r="AB42" i="6"/>
  <c r="AB43" i="6"/>
  <c r="AB44" i="6"/>
  <c r="AB45" i="6"/>
  <c r="AB30" i="6"/>
  <c r="AB31" i="6"/>
  <c r="AB32" i="6"/>
  <c r="AB33" i="6"/>
  <c r="AB34" i="6"/>
  <c r="AB24" i="6"/>
  <c r="AB25" i="6"/>
  <c r="AB26" i="6"/>
  <c r="AB27" i="6"/>
  <c r="AB28" i="6"/>
  <c r="AB29" i="6"/>
  <c r="AB19" i="6"/>
  <c r="AB20" i="6"/>
  <c r="AB21" i="6"/>
  <c r="AB22" i="6"/>
  <c r="AB23" i="6"/>
  <c r="AB13" i="6"/>
  <c r="AB14" i="6"/>
  <c r="AB15" i="6"/>
  <c r="Z16" i="6"/>
  <c r="AB17" i="6"/>
  <c r="AB7" i="6"/>
  <c r="AB8" i="6"/>
  <c r="AB9" i="6"/>
  <c r="AB10" i="6"/>
  <c r="AB11" i="6"/>
  <c r="D9" i="5"/>
  <c r="D13" i="5"/>
  <c r="AH58" i="6" s="1"/>
  <c r="AD19" i="6"/>
  <c r="AD21" i="6"/>
  <c r="AD22" i="6"/>
  <c r="AD33" i="6"/>
  <c r="AD34" i="6"/>
  <c r="AD46" i="6"/>
  <c r="AD47" i="6"/>
  <c r="AD48" i="6"/>
  <c r="AD49" i="6"/>
  <c r="AD50" i="6"/>
  <c r="AD51" i="6"/>
  <c r="AD52" i="6"/>
  <c r="AD42" i="6"/>
  <c r="AD43" i="6"/>
  <c r="AD44" i="6"/>
  <c r="AD45" i="6"/>
  <c r="AD40" i="6"/>
  <c r="AD24" i="6"/>
  <c r="AD25" i="6"/>
  <c r="AD26" i="6"/>
  <c r="AD27" i="6"/>
  <c r="AD28" i="6"/>
  <c r="AD29" i="6"/>
  <c r="AD13" i="6"/>
  <c r="AD14" i="6"/>
  <c r="AD15" i="6"/>
  <c r="AD16" i="6"/>
  <c r="AD17" i="6"/>
  <c r="AD8" i="6"/>
  <c r="AD11" i="6"/>
  <c r="N36" i="6"/>
  <c r="N42" i="6"/>
  <c r="AF51" i="6"/>
  <c r="AF50" i="6"/>
  <c r="AF49" i="6"/>
  <c r="AF48" i="6"/>
  <c r="AF47" i="6"/>
  <c r="AF46" i="6"/>
  <c r="R26" i="6"/>
  <c r="U6" i="6"/>
  <c r="Z28" i="6"/>
  <c r="Z29" i="6" s="1"/>
  <c r="Z27" i="6"/>
  <c r="Z26" i="6"/>
  <c r="Z25" i="6"/>
  <c r="Z24" i="6"/>
  <c r="Z51" i="6"/>
  <c r="Z50" i="6"/>
  <c r="Z49" i="6"/>
  <c r="Z48" i="6"/>
  <c r="Z52" i="6" s="1"/>
  <c r="Z47" i="6"/>
  <c r="Z46" i="6"/>
  <c r="Z44" i="6"/>
  <c r="Z43" i="6"/>
  <c r="Z42" i="6"/>
  <c r="Z45" i="6" s="1"/>
  <c r="Z39" i="6"/>
  <c r="Z37" i="6"/>
  <c r="Z34" i="6"/>
  <c r="Z35" i="6" s="1"/>
  <c r="Z33" i="6"/>
  <c r="Z32" i="6"/>
  <c r="Z31" i="6"/>
  <c r="Z30" i="6"/>
  <c r="Z22" i="6"/>
  <c r="Z21" i="6"/>
  <c r="Z20" i="6"/>
  <c r="Z19" i="6"/>
  <c r="Z23" i="6" s="1"/>
  <c r="Z17" i="6"/>
  <c r="Z15" i="6"/>
  <c r="Z14" i="6"/>
  <c r="Z13" i="6"/>
  <c r="Z11" i="6"/>
  <c r="Z10" i="6"/>
  <c r="Z9" i="6"/>
  <c r="Z8" i="6"/>
  <c r="Z12" i="6" s="1"/>
  <c r="Z7" i="6"/>
  <c r="Z18" i="6"/>
  <c r="E45" i="7"/>
  <c r="E46" i="7"/>
  <c r="E47" i="7"/>
  <c r="E48" i="7"/>
  <c r="E49" i="7"/>
  <c r="E50" i="7"/>
  <c r="E41" i="7"/>
  <c r="E42" i="7"/>
  <c r="E43" i="7"/>
  <c r="E44" i="7"/>
  <c r="E35" i="7"/>
  <c r="E36" i="7"/>
  <c r="E37" i="7"/>
  <c r="E38" i="7"/>
  <c r="E39" i="7"/>
  <c r="E40" i="7"/>
  <c r="E29" i="7"/>
  <c r="E34" i="7" s="1"/>
  <c r="E30" i="7"/>
  <c r="E31" i="7"/>
  <c r="E32" i="7"/>
  <c r="E33" i="7"/>
  <c r="E23" i="7"/>
  <c r="E28" i="7" s="1"/>
  <c r="E24" i="7"/>
  <c r="E25" i="7"/>
  <c r="E26" i="7"/>
  <c r="E27" i="7"/>
  <c r="E18" i="7"/>
  <c r="E19" i="7"/>
  <c r="E20" i="7"/>
  <c r="E21" i="7"/>
  <c r="E22" i="7"/>
  <c r="E12" i="7"/>
  <c r="E17" i="7" s="1"/>
  <c r="E13" i="7"/>
  <c r="E14" i="7"/>
  <c r="E15" i="7"/>
  <c r="E16" i="7"/>
  <c r="E6" i="7"/>
  <c r="E11" i="7" s="1"/>
  <c r="E7" i="7"/>
  <c r="E8" i="7"/>
  <c r="E9" i="7"/>
  <c r="E10" i="7"/>
  <c r="D51" i="7"/>
  <c r="D44" i="7"/>
  <c r="D52" i="7" s="1"/>
  <c r="D40" i="7"/>
  <c r="D34" i="7"/>
  <c r="D28" i="7"/>
  <c r="D22" i="7"/>
  <c r="D17" i="7"/>
  <c r="D11" i="7"/>
  <c r="N11" i="6"/>
  <c r="N10" i="6"/>
  <c r="N9" i="6"/>
  <c r="N8" i="6"/>
  <c r="N7" i="6"/>
  <c r="N17" i="6"/>
  <c r="N16" i="6"/>
  <c r="N15" i="6"/>
  <c r="N14" i="6"/>
  <c r="N13" i="6"/>
  <c r="V51" i="6"/>
  <c r="V50" i="6"/>
  <c r="V49" i="6"/>
  <c r="V48" i="6"/>
  <c r="V47" i="6"/>
  <c r="V46" i="6"/>
  <c r="T51" i="6"/>
  <c r="T50" i="6"/>
  <c r="T49" i="6"/>
  <c r="T48" i="6"/>
  <c r="T47" i="6"/>
  <c r="T46" i="6"/>
  <c r="R51" i="6"/>
  <c r="R50" i="6"/>
  <c r="R49" i="6"/>
  <c r="R48" i="6"/>
  <c r="R44" i="6"/>
  <c r="R40" i="6"/>
  <c r="R39" i="6"/>
  <c r="R38" i="6"/>
  <c r="R37" i="6"/>
  <c r="R36" i="6"/>
  <c r="R41" i="6" s="1"/>
  <c r="R34" i="6"/>
  <c r="R32" i="6"/>
  <c r="R31" i="6"/>
  <c r="R30" i="6"/>
  <c r="R22" i="6"/>
  <c r="R20" i="6"/>
  <c r="R19" i="6"/>
  <c r="R17" i="6"/>
  <c r="R16" i="6"/>
  <c r="R15" i="6"/>
  <c r="R14" i="6"/>
  <c r="R13" i="6"/>
  <c r="R18" i="6" s="1"/>
  <c r="R8" i="6"/>
  <c r="R12" i="6" s="1"/>
  <c r="R9" i="6"/>
  <c r="R10" i="6"/>
  <c r="R11" i="6"/>
  <c r="R7" i="6"/>
  <c r="C32" i="5"/>
  <c r="D32" i="5"/>
  <c r="N46" i="6"/>
  <c r="N52" i="6" s="1"/>
  <c r="N47" i="6"/>
  <c r="N48" i="6"/>
  <c r="N49" i="6"/>
  <c r="N50" i="6"/>
  <c r="N51" i="6"/>
  <c r="N43" i="6"/>
  <c r="N45" i="6"/>
  <c r="N38" i="6"/>
  <c r="N24" i="6"/>
  <c r="N29" i="6" s="1"/>
  <c r="N25" i="6"/>
  <c r="N26" i="6"/>
  <c r="N27" i="6"/>
  <c r="N28" i="6"/>
  <c r="N19" i="6"/>
  <c r="N20" i="6"/>
  <c r="N21" i="6"/>
  <c r="N22" i="6"/>
  <c r="N23" i="6"/>
  <c r="N18" i="6"/>
  <c r="N12" i="6"/>
  <c r="H18" i="6"/>
  <c r="G23" i="6"/>
  <c r="G18" i="6"/>
  <c r="F52" i="6"/>
  <c r="F45" i="6"/>
  <c r="F35" i="6"/>
  <c r="F29" i="6"/>
  <c r="F23" i="6"/>
  <c r="F18" i="6"/>
  <c r="F12" i="6"/>
  <c r="E52" i="6"/>
  <c r="E45" i="6"/>
  <c r="E53" i="6" s="1"/>
  <c r="E41" i="6"/>
  <c r="E35" i="6"/>
  <c r="E29" i="6"/>
  <c r="E23" i="6"/>
  <c r="E18" i="6"/>
  <c r="E12" i="6"/>
  <c r="Y20" i="8" l="1"/>
  <c r="P30" i="6"/>
  <c r="AG38" i="6"/>
  <c r="AD38" i="6"/>
  <c r="Z38" i="6"/>
  <c r="G36" i="6"/>
  <c r="H36" i="6"/>
  <c r="AQ46" i="6"/>
  <c r="H46" i="6"/>
  <c r="AO41" i="6"/>
  <c r="AT36" i="6"/>
  <c r="AT41" i="6" s="1"/>
  <c r="AS36" i="6"/>
  <c r="AS41" i="6" s="1"/>
  <c r="AR36" i="6"/>
  <c r="AR41" i="6" s="1"/>
  <c r="F41" i="6"/>
  <c r="F53" i="6" s="1"/>
  <c r="AD30" i="6"/>
  <c r="AI18" i="6"/>
  <c r="AG12" i="6"/>
  <c r="AF30" i="6"/>
  <c r="U35" i="6"/>
  <c r="H7" i="6"/>
  <c r="AT14" i="6"/>
  <c r="AT18" i="6" s="1"/>
  <c r="AS14" i="6"/>
  <c r="AR14" i="6"/>
  <c r="AT19" i="6"/>
  <c r="AQ23" i="6"/>
  <c r="AO9" i="6"/>
  <c r="G9" i="6"/>
  <c r="AQ9" i="6" s="1"/>
  <c r="H9" i="6"/>
  <c r="AD9" i="6" s="1"/>
  <c r="H21" i="6"/>
  <c r="AQ21" i="6"/>
  <c r="P45" i="6"/>
  <c r="X12" i="6"/>
  <c r="X20" i="6"/>
  <c r="X35" i="6"/>
  <c r="U29" i="6"/>
  <c r="AQ20" i="6"/>
  <c r="H20" i="6"/>
  <c r="AR52" i="6"/>
  <c r="AO12" i="6"/>
  <c r="AR20" i="6"/>
  <c r="AS20" i="6" s="1"/>
  <c r="AO23" i="6"/>
  <c r="AR25" i="6"/>
  <c r="AS25" i="6"/>
  <c r="AS48" i="6"/>
  <c r="AS52" i="6" s="1"/>
  <c r="AT48" i="6"/>
  <c r="AO52" i="6"/>
  <c r="S11" i="8"/>
  <c r="I11" i="8"/>
  <c r="S30" i="8"/>
  <c r="T30" i="8" s="1"/>
  <c r="I30" i="8"/>
  <c r="AD18" i="6"/>
  <c r="AH41" i="6"/>
  <c r="AI36" i="6"/>
  <c r="AI41" i="6" s="1"/>
  <c r="AB18" i="6"/>
  <c r="AB35" i="6"/>
  <c r="AF29" i="6"/>
  <c r="P23" i="6"/>
  <c r="AD37" i="6"/>
  <c r="N37" i="6"/>
  <c r="AF37" i="6"/>
  <c r="W18" i="6"/>
  <c r="V29" i="6"/>
  <c r="T35" i="6"/>
  <c r="AR35" i="6"/>
  <c r="AO24" i="6"/>
  <c r="G24" i="6"/>
  <c r="H24" i="6"/>
  <c r="S13" i="8"/>
  <c r="I13" i="8"/>
  <c r="E51" i="7"/>
  <c r="E52" i="7" s="1"/>
  <c r="AM6" i="6"/>
  <c r="E32" i="5"/>
  <c r="I51" i="8"/>
  <c r="S51" i="8"/>
  <c r="T51" i="8" s="1"/>
  <c r="H35" i="6"/>
  <c r="G52" i="6"/>
  <c r="AI30" i="6"/>
  <c r="AI35" i="6" s="1"/>
  <c r="AH35" i="6"/>
  <c r="H32" i="6"/>
  <c r="W45" i="6"/>
  <c r="X43" i="6"/>
  <c r="X41" i="6"/>
  <c r="T29" i="6"/>
  <c r="T41" i="6"/>
  <c r="T53" i="6" s="1"/>
  <c r="AT51" i="6"/>
  <c r="S37" i="8"/>
  <c r="I26" i="8"/>
  <c r="I31" i="8" s="1"/>
  <c r="S26" i="8"/>
  <c r="T26" i="8" s="1"/>
  <c r="V42" i="6"/>
  <c r="R42" i="6"/>
  <c r="AK42" i="6"/>
  <c r="X18" i="6"/>
  <c r="AT7" i="6"/>
  <c r="AS10" i="6"/>
  <c r="G13" i="5"/>
  <c r="R33" i="6"/>
  <c r="R35" i="6" s="1"/>
  <c r="AB38" i="6"/>
  <c r="AB16" i="6"/>
  <c r="AG18" i="6"/>
  <c r="X45" i="6"/>
  <c r="U41" i="6"/>
  <c r="AT35" i="6"/>
  <c r="AO28" i="6"/>
  <c r="G28" i="6"/>
  <c r="AQ28" i="6" s="1"/>
  <c r="H47" i="6"/>
  <c r="AQ47" i="6"/>
  <c r="AT47" i="6" s="1"/>
  <c r="AM35" i="6"/>
  <c r="I9" i="8"/>
  <c r="AI45" i="6"/>
  <c r="U52" i="6"/>
  <c r="AR21" i="6"/>
  <c r="AS21" i="6"/>
  <c r="AT21" i="6" s="1"/>
  <c r="AM12" i="6"/>
  <c r="AB12" i="6"/>
  <c r="AG52" i="6"/>
  <c r="AF12" i="6"/>
  <c r="G39" i="6"/>
  <c r="H39" i="6" s="1"/>
  <c r="T34" i="6"/>
  <c r="N34" i="6"/>
  <c r="P34" i="6" s="1"/>
  <c r="AS35" i="6"/>
  <c r="AS22" i="6"/>
  <c r="AT22" i="6" s="1"/>
  <c r="G43" i="6"/>
  <c r="G45" i="6" s="1"/>
  <c r="H43" i="6"/>
  <c r="I21" i="8"/>
  <c r="S21" i="8"/>
  <c r="T21" i="8" s="1"/>
  <c r="I38" i="8"/>
  <c r="I10" i="8"/>
  <c r="W34" i="8"/>
  <c r="N20" i="8"/>
  <c r="O53" i="8"/>
  <c r="N13" i="8"/>
  <c r="W12" i="6"/>
  <c r="AS32" i="6"/>
  <c r="G10" i="6"/>
  <c r="AR8" i="6"/>
  <c r="AT27" i="6"/>
  <c r="AT44" i="6"/>
  <c r="AT45" i="6" s="1"/>
  <c r="S47" i="8"/>
  <c r="W37" i="8"/>
  <c r="N22" i="8"/>
  <c r="AS13" i="6"/>
  <c r="AS18" i="6" s="1"/>
  <c r="AS27" i="6"/>
  <c r="AT49" i="6"/>
  <c r="I39" i="8"/>
  <c r="AA21" i="8"/>
  <c r="N11" i="8"/>
  <c r="P37" i="8"/>
  <c r="P47" i="8"/>
  <c r="AG16" i="6"/>
  <c r="H31" i="6"/>
  <c r="W51" i="6"/>
  <c r="X51" i="6" s="1"/>
  <c r="H27" i="6"/>
  <c r="R27" i="6" s="1"/>
  <c r="G25" i="6"/>
  <c r="AS49" i="6"/>
  <c r="U18" i="8"/>
  <c r="U37" i="8"/>
  <c r="W27" i="6"/>
  <c r="X27" i="6" s="1"/>
  <c r="W41" i="6"/>
  <c r="AO18" i="6"/>
  <c r="AR17" i="6"/>
  <c r="AR38" i="6"/>
  <c r="AT17" i="6"/>
  <c r="U17" i="8"/>
  <c r="U20" i="8" s="1"/>
  <c r="H37" i="8"/>
  <c r="O49" i="8"/>
  <c r="M55" i="8"/>
  <c r="F55" i="8"/>
  <c r="I44" i="8"/>
  <c r="I47" i="8" s="1"/>
  <c r="S43" i="8"/>
  <c r="I40" i="8"/>
  <c r="N27" i="8"/>
  <c r="AA27" i="8" s="1"/>
  <c r="P43" i="8"/>
  <c r="S50" i="8"/>
  <c r="T50" i="8" s="1"/>
  <c r="I50" i="8"/>
  <c r="S29" i="8"/>
  <c r="T29" i="8" s="1"/>
  <c r="I29" i="8"/>
  <c r="H43" i="8"/>
  <c r="T13" i="8"/>
  <c r="Y9" i="8"/>
  <c r="S14" i="8"/>
  <c r="T9" i="8"/>
  <c r="Y37" i="8"/>
  <c r="H47" i="8"/>
  <c r="I45" i="8"/>
  <c r="P12" i="8"/>
  <c r="U12" i="8"/>
  <c r="W12" i="8" s="1"/>
  <c r="Y12" i="8" s="1"/>
  <c r="O12" i="8"/>
  <c r="T11" i="8"/>
  <c r="T24" i="8"/>
  <c r="W20" i="8"/>
  <c r="W43" i="8"/>
  <c r="I22" i="8"/>
  <c r="S22" i="8"/>
  <c r="T22" i="8" s="1"/>
  <c r="T25" i="8" s="1"/>
  <c r="H25" i="8"/>
  <c r="S27" i="8"/>
  <c r="I27" i="8"/>
  <c r="H31" i="8"/>
  <c r="P48" i="8"/>
  <c r="U48" i="8"/>
  <c r="W48" i="8" s="1"/>
  <c r="O48" i="8"/>
  <c r="P52" i="8"/>
  <c r="O52" i="8"/>
  <c r="U52" i="8"/>
  <c r="W52" i="8"/>
  <c r="W47" i="8"/>
  <c r="G43" i="8"/>
  <c r="Y46" i="8"/>
  <c r="Y49" i="8"/>
  <c r="P22" i="8"/>
  <c r="P49" i="8"/>
  <c r="U24" i="8"/>
  <c r="W24" i="8" s="1"/>
  <c r="Y24" i="8" s="1"/>
  <c r="Y45" i="8"/>
  <c r="N50" i="8"/>
  <c r="AA50" i="8" s="1"/>
  <c r="O23" i="8"/>
  <c r="P24" i="8"/>
  <c r="U41" i="8"/>
  <c r="Y23" i="8"/>
  <c r="U21" i="8"/>
  <c r="Y28" i="8"/>
  <c r="U26" i="8"/>
  <c r="W26" i="8" s="1"/>
  <c r="I41" i="8"/>
  <c r="N29" i="8"/>
  <c r="AA29" i="8" s="1"/>
  <c r="P9" i="8"/>
  <c r="P26" i="8"/>
  <c r="P51" i="8"/>
  <c r="G14" i="8"/>
  <c r="U40" i="8"/>
  <c r="Y41" i="8"/>
  <c r="Y43" i="8" s="1"/>
  <c r="I24" i="8"/>
  <c r="I12" i="8"/>
  <c r="O22" i="8"/>
  <c r="O28" i="8"/>
  <c r="H48" i="8"/>
  <c r="H52" i="8"/>
  <c r="P27" i="8"/>
  <c r="P53" i="8"/>
  <c r="H14" i="8"/>
  <c r="U39" i="8"/>
  <c r="Y53" i="8"/>
  <c r="U51" i="8"/>
  <c r="W51" i="8" s="1"/>
  <c r="I35" i="8"/>
  <c r="I33" i="8"/>
  <c r="I37" i="8" s="1"/>
  <c r="N43" i="8"/>
  <c r="P28" i="8"/>
  <c r="G37" i="8"/>
  <c r="S25" i="8"/>
  <c r="W30" i="8"/>
  <c r="Y30" i="8" s="1"/>
  <c r="O21" i="8"/>
  <c r="O25" i="8" s="1"/>
  <c r="P23" i="8"/>
  <c r="P10" i="8"/>
  <c r="P30" i="8"/>
  <c r="P21" i="8"/>
  <c r="AT20" i="6" l="1"/>
  <c r="AS23" i="6"/>
  <c r="N39" i="6"/>
  <c r="P39" i="6" s="1"/>
  <c r="AD39" i="6"/>
  <c r="AF39" i="6"/>
  <c r="AF41" i="6" s="1"/>
  <c r="AF53" i="6" s="1"/>
  <c r="P37" i="6"/>
  <c r="AH9" i="6"/>
  <c r="AI9" i="6" s="1"/>
  <c r="U53" i="6"/>
  <c r="AO29" i="6"/>
  <c r="AR24" i="6"/>
  <c r="AS24" i="6" s="1"/>
  <c r="AR9" i="6"/>
  <c r="AS9" i="6"/>
  <c r="AT9" i="6"/>
  <c r="AA11" i="8"/>
  <c r="O11" i="8"/>
  <c r="U11" i="8"/>
  <c r="W11" i="8" s="1"/>
  <c r="AK43" i="6"/>
  <c r="AM43" i="6" s="1"/>
  <c r="V43" i="6"/>
  <c r="R43" i="6"/>
  <c r="R45" i="6" s="1"/>
  <c r="R21" i="6"/>
  <c r="R23" i="6" s="1"/>
  <c r="W21" i="6"/>
  <c r="H41" i="6"/>
  <c r="Z36" i="6"/>
  <c r="AD36" i="6"/>
  <c r="AS8" i="6"/>
  <c r="AR12" i="6"/>
  <c r="AF32" i="6"/>
  <c r="N32" i="6"/>
  <c r="P32" i="6" s="1"/>
  <c r="AD32" i="6"/>
  <c r="AD20" i="6"/>
  <c r="AD23" i="6" s="1"/>
  <c r="H23" i="6"/>
  <c r="AH20" i="6"/>
  <c r="AG36" i="6"/>
  <c r="AG41" i="6" s="1"/>
  <c r="O14" i="8"/>
  <c r="V45" i="6"/>
  <c r="V53" i="6" s="1"/>
  <c r="AO53" i="6"/>
  <c r="AR23" i="6"/>
  <c r="R24" i="6"/>
  <c r="W24" i="6"/>
  <c r="H29" i="6"/>
  <c r="AG53" i="6"/>
  <c r="AR28" i="6"/>
  <c r="AS28" i="6" s="1"/>
  <c r="AT28" i="6" s="1"/>
  <c r="P13" i="8"/>
  <c r="V13" i="8" s="1"/>
  <c r="W47" i="6"/>
  <c r="X47" i="6" s="1"/>
  <c r="R47" i="6"/>
  <c r="G41" i="6"/>
  <c r="H28" i="6"/>
  <c r="AM42" i="6"/>
  <c r="U27" i="8"/>
  <c r="W27" i="8" s="1"/>
  <c r="Y27" i="8" s="1"/>
  <c r="H10" i="6"/>
  <c r="AQ10" i="6"/>
  <c r="AT23" i="6"/>
  <c r="P11" i="8"/>
  <c r="V11" i="8" s="1"/>
  <c r="I25" i="8"/>
  <c r="AQ25" i="6"/>
  <c r="AT25" i="6" s="1"/>
  <c r="H25" i="6"/>
  <c r="AK45" i="6"/>
  <c r="AK53" i="6" s="1"/>
  <c r="AR18" i="6"/>
  <c r="R46" i="6"/>
  <c r="R52" i="6" s="1"/>
  <c r="H52" i="6"/>
  <c r="W46" i="6"/>
  <c r="H45" i="6"/>
  <c r="AA13" i="8"/>
  <c r="O13" i="8"/>
  <c r="U13" i="8"/>
  <c r="W13" i="8" s="1"/>
  <c r="Y13" i="8" s="1"/>
  <c r="AD7" i="6"/>
  <c r="AH7" i="6"/>
  <c r="Y51" i="8"/>
  <c r="AQ24" i="6"/>
  <c r="AQ29" i="6" s="1"/>
  <c r="G29" i="6"/>
  <c r="G53" i="6" s="1"/>
  <c r="N31" i="6"/>
  <c r="AD31" i="6"/>
  <c r="AD35" i="6" s="1"/>
  <c r="AF31" i="6"/>
  <c r="AF35" i="6" s="1"/>
  <c r="G12" i="6"/>
  <c r="I14" i="8"/>
  <c r="O27" i="8"/>
  <c r="I43" i="8"/>
  <c r="N14" i="8"/>
  <c r="AA22" i="8"/>
  <c r="AA25" i="8" s="1"/>
  <c r="N25" i="8"/>
  <c r="U22" i="8"/>
  <c r="W22" i="8" s="1"/>
  <c r="Y22" i="8" s="1"/>
  <c r="AT46" i="6"/>
  <c r="AT52" i="6" s="1"/>
  <c r="AQ52" i="6"/>
  <c r="Y26" i="8"/>
  <c r="Q11" i="8"/>
  <c r="U43" i="8"/>
  <c r="V22" i="8"/>
  <c r="Q22" i="8"/>
  <c r="AA54" i="8"/>
  <c r="U50" i="8"/>
  <c r="U54" i="8" s="1"/>
  <c r="W50" i="8"/>
  <c r="W54" i="8" s="1"/>
  <c r="P50" i="8"/>
  <c r="P54" i="8" s="1"/>
  <c r="O50" i="8"/>
  <c r="V28" i="8"/>
  <c r="Q28" i="8"/>
  <c r="V51" i="8"/>
  <c r="Q51" i="8"/>
  <c r="O54" i="8"/>
  <c r="U14" i="8"/>
  <c r="V53" i="8"/>
  <c r="Q53" i="8"/>
  <c r="V52" i="8"/>
  <c r="Q52" i="8"/>
  <c r="V48" i="8"/>
  <c r="Q48" i="8"/>
  <c r="V21" i="8"/>
  <c r="Q21" i="8"/>
  <c r="Q25" i="8" s="1"/>
  <c r="P25" i="8"/>
  <c r="V27" i="8"/>
  <c r="Q27" i="8"/>
  <c r="AA31" i="8"/>
  <c r="P29" i="8"/>
  <c r="P31" i="8" s="1"/>
  <c r="O29" i="8"/>
  <c r="O31" i="8" s="1"/>
  <c r="U29" i="8"/>
  <c r="W29" i="8" s="1"/>
  <c r="V26" i="8"/>
  <c r="Q26" i="8"/>
  <c r="Y47" i="8"/>
  <c r="Q13" i="8"/>
  <c r="N31" i="8"/>
  <c r="W21" i="8"/>
  <c r="G55" i="8"/>
  <c r="T14" i="8"/>
  <c r="V12" i="8"/>
  <c r="Q12" i="8"/>
  <c r="V9" i="8"/>
  <c r="Q9" i="8"/>
  <c r="P14" i="8"/>
  <c r="V30" i="8"/>
  <c r="Q30" i="8"/>
  <c r="Q10" i="8"/>
  <c r="I52" i="8"/>
  <c r="S52" i="8"/>
  <c r="N54" i="8"/>
  <c r="V23" i="8"/>
  <c r="Q23" i="8"/>
  <c r="H54" i="8"/>
  <c r="H55" i="8" s="1"/>
  <c r="S48" i="8"/>
  <c r="I48" i="8"/>
  <c r="V24" i="8"/>
  <c r="Q24" i="8"/>
  <c r="V49" i="8"/>
  <c r="Q49" i="8"/>
  <c r="T27" i="8"/>
  <c r="T31" i="8" s="1"/>
  <c r="S31" i="8"/>
  <c r="W14" i="8" l="1"/>
  <c r="Y11" i="8"/>
  <c r="Y14" i="8"/>
  <c r="AS29" i="6"/>
  <c r="AD12" i="6"/>
  <c r="P41" i="6"/>
  <c r="AD10" i="6"/>
  <c r="AH10" i="6"/>
  <c r="AI10" i="6" s="1"/>
  <c r="AT8" i="6"/>
  <c r="AS12" i="6"/>
  <c r="AQ53" i="6"/>
  <c r="AI20" i="6"/>
  <c r="AI23" i="6" s="1"/>
  <c r="AI53" i="6" s="1"/>
  <c r="AH23" i="6"/>
  <c r="AH53" i="6" s="1"/>
  <c r="AH54" i="6" s="1"/>
  <c r="AH55" i="6" s="1"/>
  <c r="AH59" i="6" s="1"/>
  <c r="V14" i="8"/>
  <c r="AM45" i="6"/>
  <c r="AM53" i="6" s="1"/>
  <c r="AM55" i="6" s="1"/>
  <c r="AM59" i="6" s="1"/>
  <c r="AD41" i="6"/>
  <c r="AT24" i="6"/>
  <c r="AT29" i="6" s="1"/>
  <c r="N41" i="6"/>
  <c r="N53" i="6" s="1"/>
  <c r="N54" i="6" s="1"/>
  <c r="AT10" i="6"/>
  <c r="AQ12" i="6"/>
  <c r="U25" i="8"/>
  <c r="P31" i="6"/>
  <c r="P35" i="6" s="1"/>
  <c r="N35" i="6"/>
  <c r="N55" i="8"/>
  <c r="L4" i="10" s="1"/>
  <c r="W25" i="6"/>
  <c r="X25" i="6" s="1"/>
  <c r="R25" i="6"/>
  <c r="R29" i="6" s="1"/>
  <c r="R53" i="6" s="1"/>
  <c r="X24" i="6"/>
  <c r="X29" i="6" s="1"/>
  <c r="U31" i="8"/>
  <c r="Z41" i="6"/>
  <c r="Z53" i="6" s="1"/>
  <c r="AB36" i="6"/>
  <c r="AB41" i="6" s="1"/>
  <c r="AB53" i="6" s="1"/>
  <c r="AB54" i="6" s="1"/>
  <c r="AI7" i="6"/>
  <c r="AI12" i="6" s="1"/>
  <c r="AH12" i="6"/>
  <c r="X46" i="6"/>
  <c r="X52" i="6" s="1"/>
  <c r="X53" i="6" s="1"/>
  <c r="W52" i="6"/>
  <c r="R28" i="6"/>
  <c r="W28" i="6"/>
  <c r="X28" i="6" s="1"/>
  <c r="AR29" i="6"/>
  <c r="AR53" i="6" s="1"/>
  <c r="H12" i="6"/>
  <c r="H53" i="6"/>
  <c r="X21" i="6"/>
  <c r="X23" i="6" s="1"/>
  <c r="W23" i="6"/>
  <c r="AA14" i="8"/>
  <c r="AA55" i="8"/>
  <c r="P55" i="8"/>
  <c r="Y29" i="8"/>
  <c r="Y31" i="8" s="1"/>
  <c r="W31" i="8"/>
  <c r="W55" i="8" s="1"/>
  <c r="T48" i="8"/>
  <c r="T54" i="8" s="1"/>
  <c r="T55" i="8" s="1"/>
  <c r="S54" i="8"/>
  <c r="S55" i="8" s="1"/>
  <c r="Y48" i="8"/>
  <c r="U55" i="8"/>
  <c r="V29" i="8"/>
  <c r="V31" i="8" s="1"/>
  <c r="Q29" i="8"/>
  <c r="Q31" i="8"/>
  <c r="O55" i="8"/>
  <c r="I13" i="5" s="1"/>
  <c r="T52" i="8"/>
  <c r="Y52" i="8"/>
  <c r="V25" i="8"/>
  <c r="W25" i="8"/>
  <c r="Y21" i="8"/>
  <c r="Y25" i="8" s="1"/>
  <c r="V50" i="8"/>
  <c r="V54" i="8" s="1"/>
  <c r="Q50" i="8"/>
  <c r="Q54" i="8" s="1"/>
  <c r="Q55" i="8" s="1"/>
  <c r="I54" i="8"/>
  <c r="I55" i="8" s="1"/>
  <c r="Q14" i="8"/>
  <c r="C9" i="10" l="1"/>
  <c r="C6" i="10"/>
  <c r="C7" i="10"/>
  <c r="E6" i="10"/>
  <c r="C5" i="10"/>
  <c r="E9" i="10"/>
  <c r="H9" i="10" s="1"/>
  <c r="I9" i="10" s="1"/>
  <c r="E7" i="10"/>
  <c r="H7" i="10" s="1"/>
  <c r="I7" i="10" s="1"/>
  <c r="C4" i="10"/>
  <c r="C11" i="10"/>
  <c r="E11" i="10"/>
  <c r="H11" i="10" s="1"/>
  <c r="I11" i="10" s="1"/>
  <c r="E4" i="10"/>
  <c r="C8" i="10"/>
  <c r="E8" i="10"/>
  <c r="E5" i="10"/>
  <c r="H5" i="10" s="1"/>
  <c r="I5" i="10" s="1"/>
  <c r="C10" i="10"/>
  <c r="E10" i="10"/>
  <c r="H10" i="10" s="1"/>
  <c r="I10" i="10" s="1"/>
  <c r="AD53" i="6"/>
  <c r="AS53" i="6"/>
  <c r="AO54" i="6"/>
  <c r="AT12" i="6"/>
  <c r="AT53" i="6" s="1"/>
  <c r="AT55" i="6" s="1"/>
  <c r="V55" i="8"/>
  <c r="AI56" i="6"/>
  <c r="AK54" i="6"/>
  <c r="Z54" i="6"/>
  <c r="W29" i="6"/>
  <c r="W53" i="6" s="1"/>
  <c r="W54" i="6" s="1"/>
  <c r="W55" i="6" s="1"/>
  <c r="W59" i="6" s="1"/>
  <c r="P53" i="6"/>
  <c r="P54" i="6" s="1"/>
  <c r="AA56" i="8"/>
  <c r="AA57" i="8"/>
  <c r="Y57" i="8"/>
  <c r="J13" i="5"/>
  <c r="I14" i="5" s="1"/>
  <c r="H6" i="10" l="1"/>
  <c r="I6" i="10" s="1"/>
  <c r="H8" i="10"/>
  <c r="I8" i="10" s="1"/>
  <c r="H4" i="10"/>
  <c r="I4" i="10" s="1"/>
  <c r="D14" i="5"/>
  <c r="E14" i="5"/>
  <c r="C14" i="5"/>
</calcChain>
</file>

<file path=xl/sharedStrings.xml><?xml version="1.0" encoding="utf-8"?>
<sst xmlns="http://schemas.openxmlformats.org/spreadsheetml/2006/main" count="563" uniqueCount="197">
  <si>
    <t>GF</t>
  </si>
  <si>
    <t>AMF</t>
  </si>
  <si>
    <t>Total</t>
  </si>
  <si>
    <t>PMI</t>
  </si>
  <si>
    <t>OMVS</t>
  </si>
  <si>
    <t>Aim</t>
  </si>
  <si>
    <t>Steps</t>
  </si>
  <si>
    <t>Spending funds wisely is important and, as the number of nets ordered is linked to the population, overestimates are costly.</t>
  </si>
  <si>
    <t>1) Official census: Expected to be comprehensive and reliable. However, AMF has experience from several recent nationwide distributions that suggests these can be very inaccurate</t>
  </si>
  <si>
    <t>Budget</t>
  </si>
  <si>
    <t>MOP 2018</t>
  </si>
  <si>
    <t>For nets</t>
  </si>
  <si>
    <t>MOP 2017</t>
  </si>
  <si>
    <t>Distribution costs</t>
  </si>
  <si>
    <t>Freight (/net)</t>
  </si>
  <si>
    <t>Insurance (/net)</t>
  </si>
  <si>
    <t>Customs (/net)</t>
  </si>
  <si>
    <t>Total cost per net</t>
  </si>
  <si>
    <t>Cost/net numbers</t>
  </si>
  <si>
    <t>Buffer</t>
  </si>
  <si>
    <t>Région</t>
  </si>
  <si>
    <t>Préfecture</t>
  </si>
  <si>
    <t>Population en 2019</t>
  </si>
  <si>
    <t>Nombre de MILDA a distribuer en 2019</t>
  </si>
  <si>
    <t>Partenaire de Distribution</t>
  </si>
  <si>
    <t>Fondateur de MILDA</t>
  </si>
  <si>
    <t>Fondateur de Coûts de Distribution</t>
  </si>
  <si>
    <t>Boké</t>
  </si>
  <si>
    <t>BOFFA</t>
  </si>
  <si>
    <t>BOKE</t>
  </si>
  <si>
    <t>FRIA</t>
  </si>
  <si>
    <t>GAOUAL</t>
  </si>
  <si>
    <t>KOUNDARA</t>
  </si>
  <si>
    <t xml:space="preserve">Sous-Total Région Boké  </t>
  </si>
  <si>
    <t>Conakry</t>
  </si>
  <si>
    <t>DIXINN</t>
  </si>
  <si>
    <t>KALOUM</t>
  </si>
  <si>
    <t>MATAM</t>
  </si>
  <si>
    <t>MATOTO</t>
  </si>
  <si>
    <t>RATOMA</t>
  </si>
  <si>
    <t>FM</t>
  </si>
  <si>
    <t xml:space="preserve">Sous-Total Ville de Conakry  </t>
  </si>
  <si>
    <t>Faranah</t>
  </si>
  <si>
    <t>DABOLA</t>
  </si>
  <si>
    <t>DINGUIRAYE</t>
  </si>
  <si>
    <t>FARANAH</t>
  </si>
  <si>
    <t>KISSIDOUGOU</t>
  </si>
  <si>
    <t xml:space="preserve">Sous-Total Région Faranah  </t>
  </si>
  <si>
    <t>Kankan</t>
  </si>
  <si>
    <t>KANKAN</t>
  </si>
  <si>
    <t>KEROUANE</t>
  </si>
  <si>
    <t>KOUROUSSA</t>
  </si>
  <si>
    <t>MANDIANA</t>
  </si>
  <si>
    <t>SIGUIRI</t>
  </si>
  <si>
    <t xml:space="preserve">Sous-Total Région Kankan  </t>
  </si>
  <si>
    <t>Kindia</t>
  </si>
  <si>
    <t>COYAH</t>
  </si>
  <si>
    <t>DUBREKA</t>
  </si>
  <si>
    <t>FORECARIAH</t>
  </si>
  <si>
    <t>KINDIA</t>
  </si>
  <si>
    <t>TELIMELE</t>
  </si>
  <si>
    <t xml:space="preserve">Sous-Total Région Kindia  </t>
  </si>
  <si>
    <t>Labé</t>
  </si>
  <si>
    <t>KOUBIA</t>
  </si>
  <si>
    <t>LABE</t>
  </si>
  <si>
    <t>LELOUMA</t>
  </si>
  <si>
    <t>MALI</t>
  </si>
  <si>
    <t>TOUGUE</t>
  </si>
  <si>
    <t xml:space="preserve">Sous-Total Région Labé  </t>
  </si>
  <si>
    <t>Mamou</t>
  </si>
  <si>
    <t>DALABA</t>
  </si>
  <si>
    <t>MAMOU</t>
  </si>
  <si>
    <t>PITA</t>
  </si>
  <si>
    <t>Sous-Total Région Mamou</t>
  </si>
  <si>
    <t xml:space="preserve">N'zerekoré </t>
  </si>
  <si>
    <t xml:space="preserve"> BEYLA</t>
  </si>
  <si>
    <t>GUECKEDOU</t>
  </si>
  <si>
    <t>LOLA</t>
  </si>
  <si>
    <t>MACENTA</t>
  </si>
  <si>
    <t>NZEREKORE</t>
  </si>
  <si>
    <t>YOMOU</t>
  </si>
  <si>
    <t xml:space="preserve">Sous-Total Région N'zerekoré </t>
  </si>
  <si>
    <t>Total pays</t>
  </si>
  <si>
    <t>Subtotal</t>
  </si>
  <si>
    <t>Cost/net - landed</t>
  </si>
  <si>
    <t>1. FOB cost/net</t>
  </si>
  <si>
    <t>2. Shipping total</t>
  </si>
  <si>
    <t>3. Dist cost/net</t>
  </si>
  <si>
    <t>Shipping + Distribution</t>
  </si>
  <si>
    <t>QA estimate (NB: Overall number: $15,000)</t>
  </si>
  <si>
    <t>GF 'landed' net costs</t>
  </si>
  <si>
    <t>Pop 2019</t>
  </si>
  <si>
    <t>Total MILDA</t>
  </si>
  <si>
    <t>Base MILDA</t>
  </si>
  <si>
    <t>Funded of nets</t>
  </si>
  <si>
    <t>GF funded nets</t>
  </si>
  <si>
    <t>PMI funded nets</t>
  </si>
  <si>
    <t>AMF funded nets</t>
  </si>
  <si>
    <t>OMVS funded nets</t>
  </si>
  <si>
    <t>GF nets (#)</t>
  </si>
  <si>
    <t>Nets, GF funding distrib costs (#)</t>
  </si>
  <si>
    <t>Global Fund</t>
  </si>
  <si>
    <t>PMI nets (#)</t>
  </si>
  <si>
    <t>PMI 'landed' net costs</t>
  </si>
  <si>
    <t>Nets, PMI funding distrib costs (#)</t>
  </si>
  <si>
    <t>AMF nets (#)</t>
  </si>
  <si>
    <t>Possible Extra nets (buffer)</t>
  </si>
  <si>
    <t>First Shipment (90% of base number)</t>
  </si>
  <si>
    <t>2nd Shipment (if 10% of base + buffer)</t>
  </si>
  <si>
    <t>2nd Shipment (if 10% of base)</t>
  </si>
  <si>
    <t>Funder of Distribution Costs (=Dist Partner)</t>
  </si>
  <si>
    <t>Sous-Total</t>
  </si>
  <si>
    <t>OMVS nets (#)</t>
  </si>
  <si>
    <t>OMVS 'landed' net costs</t>
  </si>
  <si>
    <t>ex AMF</t>
  </si>
  <si>
    <t>Max likely</t>
  </si>
  <si>
    <t>Poss budget surplus (if 0 buffer, AMF nets)</t>
  </si>
  <si>
    <t>Tot Poss Surp</t>
  </si>
  <si>
    <t>4. Establish the total funds available from other donors</t>
  </si>
  <si>
    <t>5. Convert the funding gap into a quantity of nets that could be funded by AMF</t>
  </si>
  <si>
    <t>Sources of population estimates include: 1) the most recent official national census; 2) data from the previous net distribution; and 3) district-held population data</t>
  </si>
  <si>
    <t>Comments on each</t>
  </si>
  <si>
    <t>2) Prior distribution data: This could be more recent than other information and reliable. However, it may also be inflated and not reliable.</t>
  </si>
  <si>
    <t>3) District-held data: Depending on the method/date of collection, it could be of interest.</t>
  </si>
  <si>
    <t>1. Establish a reasonable estimate for the population* of Guinea and therefore the estimated total net need</t>
  </si>
  <si>
    <t>*Importance of determining the best possible estimate of the population</t>
  </si>
  <si>
    <t>3. Suggested Allocation - Changes to Conakry and Labé region</t>
  </si>
  <si>
    <t>2. Budget and net cost numbers from GF+PMI - 22Jun18</t>
  </si>
  <si>
    <t>1. Intial Allocation - Received from PNLP - 15Jun18</t>
  </si>
  <si>
    <t>Explanation of the contents of this spreadsheet</t>
  </si>
  <si>
    <t>Establish the funding gap for Guinea's 2019 universal coverage campaign (UCC) after non-AMF funders' commitments have been taken into account.</t>
  </si>
  <si>
    <t>2. Establish reasonable estimates for key variables including people/net, additional 'buffer %' above population divided by pople per net, net and non-net costs</t>
  </si>
  <si>
    <t>3. Calculate the total funding needed fo the campaign</t>
  </si>
  <si>
    <t>6. Make specific suggestionS for what AMF would fund</t>
  </si>
  <si>
    <t>Content by tab</t>
  </si>
  <si>
    <t>1. Initial Allocation</t>
  </si>
  <si>
    <t>2. Budgets + Costs per net</t>
  </si>
  <si>
    <t>3. Suggested Allocation</t>
  </si>
  <si>
    <t>From PNLP</t>
  </si>
  <si>
    <t>PNLP allocation (+ several adjtmnts)</t>
  </si>
  <si>
    <t xml:space="preserve">  = adjustments</t>
  </si>
  <si>
    <t>Key</t>
  </si>
  <si>
    <t>Current surplus:</t>
  </si>
  <si>
    <r>
      <rPr>
        <b/>
        <sz val="11"/>
        <color rgb="FF0000FF"/>
        <rFont val="Calibri"/>
        <family val="2"/>
        <scheme val="minor"/>
      </rPr>
      <t>Note:</t>
    </r>
    <r>
      <rPr>
        <sz val="11"/>
        <color rgb="FF0000FF"/>
        <rFont val="Calibri"/>
        <family val="2"/>
        <scheme val="minor"/>
      </rPr>
      <t xml:space="preserve"> The non-nets costs (shipping, clearance, distribution costs) borne by GF and PMI for AMF-funded nets are calculated assuming AMF funds a quantity of nets for the respective regions that includes the 20% buffer so funding for the buffer nets is 'built in'. This means there is the potential for cost savings should some portion of the 20% buffer not be needed. This will be known when the actual household registration data is known.</t>
    </r>
  </si>
  <si>
    <t>Cost per net</t>
  </si>
  <si>
    <t>Initial cost (USD)</t>
  </si>
  <si>
    <t xml:space="preserve">Nzerekoré </t>
  </si>
  <si>
    <t>Possible additional cost (USD)</t>
  </si>
  <si>
    <t>Location</t>
  </si>
  <si>
    <t>Boké Région</t>
  </si>
  <si>
    <t>Faranah Région</t>
  </si>
  <si>
    <t>Kankan Région</t>
  </si>
  <si>
    <t>Nzerekoré Région</t>
  </si>
  <si>
    <t>BEYLA</t>
  </si>
  <si>
    <t>Boké Région, Boffa Préfecture</t>
  </si>
  <si>
    <t>Boké Région, Boké Préfecture</t>
  </si>
  <si>
    <t>Boké Région, Fria Préfecture</t>
  </si>
  <si>
    <t>Boké Région, Gaoual Préfecture</t>
  </si>
  <si>
    <t>Boké Région, Koundara Préfecture</t>
  </si>
  <si>
    <t>Faranah Région, Dabola Préfecture</t>
  </si>
  <si>
    <t>Faranah Région, Dinguiraye Préfecture</t>
  </si>
  <si>
    <t>Faranah Région, Faranah Préfecture</t>
  </si>
  <si>
    <t>Faranah Région, Kissidougou Préfecture</t>
  </si>
  <si>
    <t>Kankan Région, Kankan Préfecture</t>
  </si>
  <si>
    <t>Kankan Région, Kerouane Préfecture</t>
  </si>
  <si>
    <t>Kankan Région, Kouroussa Préfecture</t>
  </si>
  <si>
    <t>Kankan Région, Mandiana Préfecture</t>
  </si>
  <si>
    <t>Kankan Région, Siguiri Préfecture</t>
  </si>
  <si>
    <t>Nzerekoré Région, Beyla Préfecture</t>
  </si>
  <si>
    <t xml:space="preserve">Nzerekoré Région, Gueckedou Préfecture </t>
  </si>
  <si>
    <t xml:space="preserve">Nzerekoré Région, Lola Préfecture </t>
  </si>
  <si>
    <t xml:space="preserve">Nzerekoré Région, Macenta Préfecture </t>
  </si>
  <si>
    <t>Nzerekoré Région, Nzerekoré Préfecture</t>
  </si>
  <si>
    <t>Nzerekoré Région, Yomou Préfecture</t>
  </si>
  <si>
    <t>Latitude</t>
  </si>
  <si>
    <t>Longitude</t>
  </si>
  <si>
    <t>AMF contribution</t>
  </si>
  <si>
    <t>Funder of nets</t>
  </si>
  <si>
    <t>Also AMF</t>
  </si>
  <si>
    <t>AMF nets (#) (Rounded to nearest 250)</t>
  </si>
  <si>
    <t>First Shipment (Rounded)</t>
  </si>
  <si>
    <t>2nd Shipment (Rounded)</t>
  </si>
  <si>
    <t>Sous-Préfecture</t>
  </si>
  <si>
    <t># pr/sous-pr</t>
  </si>
  <si>
    <t>nets</t>
  </si>
  <si>
    <t>shipping</t>
  </si>
  <si>
    <t>% point reduction of over-registration (inflation) - NETS SAVED</t>
  </si>
  <si>
    <t>AMF first shipment (% of 3.86 million in agreement)</t>
  </si>
  <si>
    <t>% extra population found during registration (+20% = country baseline)</t>
  </si>
  <si>
    <t>Nzerekoré</t>
  </si>
  <si>
    <t>Net need for AMF regions</t>
  </si>
  <si>
    <t>Net need for Faranah, Nzerekoré, Kankan</t>
  </si>
  <si>
    <t>Net need Boké</t>
  </si>
  <si>
    <t>Nets in country after 1st shipment</t>
  </si>
  <si>
    <t>Net need 2nd shipment</t>
  </si>
  <si>
    <t>Is net need in 2nd shipment &gt; net need for Boké?</t>
  </si>
  <si>
    <t>AMF nets in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</si>
</sst>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\$#,##0;[Red]\-\$#,##0"/>
    <numFmt numFmtId="165" formatCode="\$#,##0.00;[Red]\-\$#,##0.00"/>
    <numFmt numFmtId="166" formatCode="#,##0.000_ ;[Red]\-#,##0.000\ "/>
    <numFmt numFmtId="167" formatCode="\$#,##0.000;[Red]\-\$#,##0.000"/>
    <numFmt numFmtId="168" formatCode="\$#,##0.00;\-\$#,##0.00"/>
    <numFmt numFmtId="169" formatCode="\$#,##0;\-\$#,##0"/>
    <numFmt numFmtId="170" formatCode="[Red]\+#,##0;[Blue]\-#,##0"/>
    <numFmt numFmtId="171" formatCode="0.000"/>
  </numFmts>
  <fonts count="2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u/>
      <sz val="11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170" fontId="20" fillId="0" borderId="1"/>
  </cellStyleXfs>
  <cellXfs count="280">
    <xf numFmtId="0" fontId="0" fillId="0" borderId="0" xfId="0"/>
    <xf numFmtId="0" fontId="10" fillId="0" borderId="0" xfId="0" applyFont="1"/>
    <xf numFmtId="0" fontId="8" fillId="0" borderId="0" xfId="0" applyFont="1"/>
    <xf numFmtId="0" fontId="7" fillId="0" borderId="0" xfId="0" applyFont="1"/>
    <xf numFmtId="0" fontId="0" fillId="0" borderId="0" xfId="0" applyBorder="1"/>
    <xf numFmtId="0" fontId="0" fillId="0" borderId="0" xfId="0" applyAlignment="1">
      <alignment horizontal="left"/>
    </xf>
    <xf numFmtId="0" fontId="14" fillId="0" borderId="0" xfId="0" applyFont="1" applyBorder="1" applyAlignment="1">
      <alignment horizontal="center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right" wrapText="1"/>
    </xf>
    <xf numFmtId="0" fontId="10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1" xfId="0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3" fontId="0" fillId="0" borderId="3" xfId="0" applyNumberFormat="1" applyBorder="1"/>
    <xf numFmtId="0" fontId="10" fillId="0" borderId="28" xfId="0" applyFont="1" applyBorder="1"/>
    <xf numFmtId="3" fontId="10" fillId="0" borderId="4" xfId="0" applyNumberFormat="1" applyFont="1" applyBorder="1"/>
    <xf numFmtId="169" fontId="14" fillId="0" borderId="4" xfId="0" applyNumberFormat="1" applyFont="1" applyBorder="1"/>
    <xf numFmtId="3" fontId="0" fillId="0" borderId="2" xfId="0" applyNumberFormat="1" applyBorder="1"/>
    <xf numFmtId="0" fontId="0" fillId="0" borderId="1" xfId="0" applyBorder="1" applyAlignment="1">
      <alignment horizontal="left"/>
    </xf>
    <xf numFmtId="0" fontId="0" fillId="0" borderId="28" xfId="0" applyBorder="1"/>
    <xf numFmtId="169" fontId="14" fillId="0" borderId="0" xfId="0" applyNumberFormat="1" applyFont="1" applyBorder="1"/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right"/>
    </xf>
    <xf numFmtId="0" fontId="6" fillId="0" borderId="0" xfId="0" applyFont="1" applyFill="1"/>
    <xf numFmtId="0" fontId="6" fillId="0" borderId="0" xfId="0" applyFont="1" applyBorder="1"/>
    <xf numFmtId="0" fontId="6" fillId="0" borderId="3" xfId="0" applyFont="1" applyBorder="1"/>
    <xf numFmtId="3" fontId="13" fillId="0" borderId="3" xfId="0" applyNumberFormat="1" applyFont="1" applyBorder="1"/>
    <xf numFmtId="0" fontId="10" fillId="0" borderId="19" xfId="0" applyFont="1" applyBorder="1"/>
    <xf numFmtId="3" fontId="14" fillId="0" borderId="19" xfId="0" applyNumberFormat="1" applyFont="1" applyBorder="1"/>
    <xf numFmtId="0" fontId="6" fillId="0" borderId="19" xfId="0" applyFont="1" applyFill="1" applyBorder="1" applyAlignment="1">
      <alignment horizontal="center"/>
    </xf>
    <xf numFmtId="0" fontId="6" fillId="0" borderId="19" xfId="0" applyFont="1" applyBorder="1"/>
    <xf numFmtId="0" fontId="6" fillId="0" borderId="33" xfId="0" applyFont="1" applyBorder="1"/>
    <xf numFmtId="3" fontId="13" fillId="0" borderId="33" xfId="0" applyNumberFormat="1" applyFont="1" applyBorder="1"/>
    <xf numFmtId="0" fontId="6" fillId="0" borderId="33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32" xfId="0" applyFont="1" applyBorder="1"/>
    <xf numFmtId="0" fontId="6" fillId="0" borderId="31" xfId="0" applyFont="1" applyBorder="1"/>
    <xf numFmtId="0" fontId="6" fillId="0" borderId="27" xfId="0" applyFont="1" applyBorder="1"/>
    <xf numFmtId="0" fontId="6" fillId="0" borderId="24" xfId="0" applyFont="1" applyBorder="1"/>
    <xf numFmtId="0" fontId="6" fillId="0" borderId="2" xfId="0" applyFont="1" applyBorder="1" applyAlignment="1">
      <alignment horizontal="left"/>
    </xf>
    <xf numFmtId="0" fontId="14" fillId="5" borderId="0" xfId="0" applyFont="1" applyFill="1" applyAlignment="1">
      <alignment horizontal="center" wrapText="1"/>
    </xf>
    <xf numFmtId="9" fontId="14" fillId="5" borderId="0" xfId="1" applyFont="1" applyFill="1" applyAlignment="1">
      <alignment horizontal="center" wrapText="1"/>
    </xf>
    <xf numFmtId="3" fontId="6" fillId="0" borderId="3" xfId="0" applyNumberFormat="1" applyFont="1" applyBorder="1" applyAlignment="1">
      <alignment horizontal="center"/>
    </xf>
    <xf numFmtId="3" fontId="13" fillId="0" borderId="3" xfId="0" applyNumberFormat="1" applyFont="1" applyBorder="1" applyAlignment="1">
      <alignment horizontal="center"/>
    </xf>
    <xf numFmtId="3" fontId="6" fillId="0" borderId="33" xfId="0" applyNumberFormat="1" applyFont="1" applyBorder="1" applyAlignment="1">
      <alignment horizontal="center"/>
    </xf>
    <xf numFmtId="3" fontId="13" fillId="0" borderId="33" xfId="0" applyNumberFormat="1" applyFont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3" fontId="14" fillId="0" borderId="19" xfId="0" applyNumberFormat="1" applyFont="1" applyBorder="1" applyAlignment="1">
      <alignment horizontal="center"/>
    </xf>
    <xf numFmtId="3" fontId="6" fillId="0" borderId="33" xfId="0" applyNumberFormat="1" applyFont="1" applyFill="1" applyBorder="1" applyAlignment="1">
      <alignment horizontal="center" vertical="center"/>
    </xf>
    <xf numFmtId="3" fontId="17" fillId="0" borderId="19" xfId="0" applyNumberFormat="1" applyFont="1" applyBorder="1" applyAlignment="1">
      <alignment horizontal="center"/>
    </xf>
    <xf numFmtId="3" fontId="6" fillId="0" borderId="33" xfId="0" applyNumberFormat="1" applyFont="1" applyFill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0" fontId="6" fillId="6" borderId="33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3" borderId="33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7" borderId="33" xfId="0" applyFont="1" applyFill="1" applyBorder="1" applyAlignment="1">
      <alignment horizontal="center"/>
    </xf>
    <xf numFmtId="0" fontId="6" fillId="0" borderId="0" xfId="0" applyFont="1" applyAlignment="1"/>
    <xf numFmtId="168" fontId="11" fillId="5" borderId="0" xfId="1" applyNumberFormat="1" applyFont="1" applyFill="1" applyBorder="1" applyAlignment="1">
      <alignment horizontal="center" wrapText="1"/>
    </xf>
    <xf numFmtId="169" fontId="13" fillId="0" borderId="0" xfId="0" applyNumberFormat="1" applyFont="1" applyBorder="1"/>
    <xf numFmtId="0" fontId="6" fillId="0" borderId="23" xfId="0" applyFont="1" applyBorder="1"/>
    <xf numFmtId="9" fontId="14" fillId="0" borderId="0" xfId="1" applyFont="1" applyBorder="1"/>
    <xf numFmtId="0" fontId="6" fillId="0" borderId="26" xfId="0" applyFont="1" applyBorder="1"/>
    <xf numFmtId="0" fontId="13" fillId="0" borderId="33" xfId="0" applyFont="1" applyBorder="1" applyAlignment="1">
      <alignment horizontal="center" wrapText="1"/>
    </xf>
    <xf numFmtId="168" fontId="11" fillId="5" borderId="33" xfId="1" applyNumberFormat="1" applyFont="1" applyFill="1" applyBorder="1" applyAlignment="1">
      <alignment horizontal="center" wrapText="1"/>
    </xf>
    <xf numFmtId="169" fontId="13" fillId="0" borderId="33" xfId="0" applyNumberFormat="1" applyFont="1" applyBorder="1"/>
    <xf numFmtId="169" fontId="14" fillId="0" borderId="19" xfId="0" applyNumberFormat="1" applyFont="1" applyBorder="1"/>
    <xf numFmtId="169" fontId="13" fillId="0" borderId="33" xfId="0" applyNumberFormat="1" applyFont="1" applyFill="1" applyBorder="1"/>
    <xf numFmtId="169" fontId="14" fillId="0" borderId="35" xfId="0" applyNumberFormat="1" applyFont="1" applyBorder="1"/>
    <xf numFmtId="168" fontId="11" fillId="5" borderId="23" xfId="1" applyNumberFormat="1" applyFont="1" applyFill="1" applyBorder="1" applyAlignment="1">
      <alignment horizontal="center" wrapText="1"/>
    </xf>
    <xf numFmtId="169" fontId="13" fillId="0" borderId="23" xfId="0" applyNumberFormat="1" applyFont="1" applyBorder="1"/>
    <xf numFmtId="169" fontId="14" fillId="0" borderId="34" xfId="0" applyNumberFormat="1" applyFont="1" applyBorder="1"/>
    <xf numFmtId="3" fontId="0" fillId="0" borderId="28" xfId="0" applyNumberFormat="1" applyBorder="1"/>
    <xf numFmtId="3" fontId="0" fillId="0" borderId="21" xfId="0" applyNumberFormat="1" applyBorder="1"/>
    <xf numFmtId="3" fontId="0" fillId="0" borderId="26" xfId="0" applyNumberFormat="1" applyBorder="1"/>
    <xf numFmtId="0" fontId="6" fillId="4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6" fillId="0" borderId="0" xfId="0" applyNumberFormat="1" applyFont="1"/>
    <xf numFmtId="3" fontId="14" fillId="0" borderId="33" xfId="0" applyNumberFormat="1" applyFont="1" applyBorder="1"/>
    <xf numFmtId="0" fontId="6" fillId="3" borderId="36" xfId="0" applyFont="1" applyFill="1" applyBorder="1" applyAlignment="1">
      <alignment horizontal="center"/>
    </xf>
    <xf numFmtId="0" fontId="6" fillId="4" borderId="36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15" fillId="0" borderId="0" xfId="0" applyFont="1" applyBorder="1" applyAlignment="1">
      <alignment horizontal="center" wrapText="1"/>
    </xf>
    <xf numFmtId="169" fontId="13" fillId="0" borderId="3" xfId="0" applyNumberFormat="1" applyFont="1" applyBorder="1"/>
    <xf numFmtId="169" fontId="13" fillId="0" borderId="21" xfId="0" applyNumberFormat="1" applyFont="1" applyBorder="1"/>
    <xf numFmtId="169" fontId="13" fillId="0" borderId="32" xfId="0" applyNumberFormat="1" applyFont="1" applyBorder="1"/>
    <xf numFmtId="0" fontId="6" fillId="0" borderId="15" xfId="0" applyFont="1" applyBorder="1"/>
    <xf numFmtId="0" fontId="16" fillId="0" borderId="0" xfId="0" applyFont="1" applyAlignment="1">
      <alignment horizontal="left" wrapText="1"/>
    </xf>
    <xf numFmtId="0" fontId="15" fillId="0" borderId="37" xfId="0" applyFont="1" applyBorder="1" applyAlignment="1">
      <alignment horizontal="center" wrapText="1"/>
    </xf>
    <xf numFmtId="0" fontId="6" fillId="0" borderId="38" xfId="0" applyFont="1" applyBorder="1"/>
    <xf numFmtId="0" fontId="15" fillId="0" borderId="14" xfId="0" applyFont="1" applyBorder="1" applyAlignment="1">
      <alignment horizontal="center" wrapText="1"/>
    </xf>
    <xf numFmtId="0" fontId="15" fillId="0" borderId="39" xfId="0" applyFont="1" applyBorder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5" fillId="0" borderId="40" xfId="0" applyFont="1" applyBorder="1" applyAlignment="1">
      <alignment horizontal="center" wrapText="1"/>
    </xf>
    <xf numFmtId="0" fontId="13" fillId="0" borderId="41" xfId="0" applyFont="1" applyBorder="1" applyAlignment="1">
      <alignment horizontal="center" wrapText="1"/>
    </xf>
    <xf numFmtId="168" fontId="11" fillId="5" borderId="8" xfId="1" applyNumberFormat="1" applyFont="1" applyFill="1" applyBorder="1" applyAlignment="1">
      <alignment horizontal="center" wrapText="1"/>
    </xf>
    <xf numFmtId="3" fontId="13" fillId="0" borderId="42" xfId="0" applyNumberFormat="1" applyFont="1" applyBorder="1"/>
    <xf numFmtId="169" fontId="13" fillId="0" borderId="43" xfId="0" applyNumberFormat="1" applyFont="1" applyBorder="1"/>
    <xf numFmtId="3" fontId="13" fillId="0" borderId="41" xfId="0" applyNumberFormat="1" applyFont="1" applyBorder="1"/>
    <xf numFmtId="169" fontId="13" fillId="0" borderId="8" xfId="0" applyNumberFormat="1" applyFont="1" applyBorder="1"/>
    <xf numFmtId="3" fontId="14" fillId="0" borderId="18" xfId="0" applyNumberFormat="1" applyFont="1" applyBorder="1"/>
    <xf numFmtId="169" fontId="14" fillId="0" borderId="11" xfId="0" applyNumberFormat="1" applyFont="1" applyBorder="1"/>
    <xf numFmtId="169" fontId="14" fillId="0" borderId="7" xfId="0" applyNumberFormat="1" applyFont="1" applyBorder="1"/>
    <xf numFmtId="0" fontId="6" fillId="0" borderId="41" xfId="0" applyFont="1" applyBorder="1"/>
    <xf numFmtId="0" fontId="6" fillId="0" borderId="17" xfId="0" applyFont="1" applyBorder="1"/>
    <xf numFmtId="0" fontId="6" fillId="0" borderId="44" xfId="0" applyFont="1" applyBorder="1"/>
    <xf numFmtId="0" fontId="6" fillId="0" borderId="45" xfId="0" applyFont="1" applyBorder="1"/>
    <xf numFmtId="0" fontId="6" fillId="0" borderId="12" xfId="0" applyFont="1" applyBorder="1"/>
    <xf numFmtId="0" fontId="15" fillId="0" borderId="6" xfId="0" applyFont="1" applyBorder="1" applyAlignment="1">
      <alignment horizontal="center" wrapText="1"/>
    </xf>
    <xf numFmtId="0" fontId="15" fillId="0" borderId="46" xfId="0" applyFont="1" applyBorder="1" applyAlignment="1">
      <alignment horizontal="center" wrapText="1"/>
    </xf>
    <xf numFmtId="0" fontId="6" fillId="0" borderId="10" xfId="0" applyFont="1" applyBorder="1" applyAlignment="1">
      <alignment wrapText="1"/>
    </xf>
    <xf numFmtId="168" fontId="11" fillId="5" borderId="9" xfId="1" applyNumberFormat="1" applyFont="1" applyFill="1" applyBorder="1" applyAlignment="1">
      <alignment horizontal="center" wrapText="1"/>
    </xf>
    <xf numFmtId="169" fontId="13" fillId="0" borderId="22" xfId="0" applyNumberFormat="1" applyFont="1" applyBorder="1"/>
    <xf numFmtId="169" fontId="14" fillId="0" borderId="20" xfId="0" applyNumberFormat="1" applyFont="1" applyBorder="1"/>
    <xf numFmtId="0" fontId="6" fillId="0" borderId="16" xfId="0" applyFont="1" applyBorder="1"/>
    <xf numFmtId="0" fontId="15" fillId="0" borderId="44" xfId="0" applyFont="1" applyBorder="1" applyAlignment="1">
      <alignment horizontal="center" wrapText="1"/>
    </xf>
    <xf numFmtId="0" fontId="15" fillId="0" borderId="35" xfId="0" applyFont="1" applyBorder="1" applyAlignment="1">
      <alignment horizontal="center" wrapText="1"/>
    </xf>
    <xf numFmtId="0" fontId="13" fillId="0" borderId="22" xfId="0" applyFont="1" applyBorder="1" applyAlignment="1">
      <alignment horizontal="center" wrapText="1"/>
    </xf>
    <xf numFmtId="3" fontId="13" fillId="0" borderId="22" xfId="0" applyNumberFormat="1" applyFont="1" applyBorder="1"/>
    <xf numFmtId="3" fontId="14" fillId="0" borderId="20" xfId="0" applyNumberFormat="1" applyFont="1" applyBorder="1"/>
    <xf numFmtId="0" fontId="10" fillId="0" borderId="28" xfId="0" applyFont="1" applyBorder="1" applyAlignment="1"/>
    <xf numFmtId="0" fontId="10" fillId="0" borderId="30" xfId="0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0" fontId="10" fillId="0" borderId="23" xfId="0" applyFont="1" applyBorder="1"/>
    <xf numFmtId="164" fontId="10" fillId="5" borderId="0" xfId="0" applyNumberFormat="1" applyFont="1" applyFill="1" applyBorder="1"/>
    <xf numFmtId="164" fontId="6" fillId="0" borderId="5" xfId="0" applyNumberFormat="1" applyFont="1" applyBorder="1"/>
    <xf numFmtId="164" fontId="10" fillId="5" borderId="5" xfId="0" applyNumberFormat="1" applyFont="1" applyFill="1" applyBorder="1"/>
    <xf numFmtId="164" fontId="10" fillId="0" borderId="5" xfId="0" applyNumberFormat="1" applyFont="1" applyBorder="1"/>
    <xf numFmtId="164" fontId="6" fillId="0" borderId="25" xfId="0" applyNumberFormat="1" applyFont="1" applyBorder="1"/>
    <xf numFmtId="165" fontId="10" fillId="5" borderId="0" xfId="0" applyNumberFormat="1" applyFont="1" applyFill="1" applyBorder="1"/>
    <xf numFmtId="165" fontId="10" fillId="0" borderId="0" xfId="0" applyNumberFormat="1" applyFont="1" applyFill="1" applyBorder="1"/>
    <xf numFmtId="165" fontId="6" fillId="0" borderId="5" xfId="0" applyNumberFormat="1" applyFont="1" applyBorder="1"/>
    <xf numFmtId="166" fontId="6" fillId="0" borderId="0" xfId="0" applyNumberFormat="1" applyFont="1" applyBorder="1"/>
    <xf numFmtId="167" fontId="10" fillId="0" borderId="5" xfId="0" applyNumberFormat="1" applyFont="1" applyBorder="1"/>
    <xf numFmtId="167" fontId="10" fillId="0" borderId="5" xfId="0" applyNumberFormat="1" applyFont="1" applyFill="1" applyBorder="1"/>
    <xf numFmtId="165" fontId="10" fillId="0" borderId="5" xfId="0" applyNumberFormat="1" applyFont="1" applyFill="1" applyBorder="1"/>
    <xf numFmtId="3" fontId="0" fillId="0" borderId="2" xfId="0" applyNumberFormat="1" applyFill="1" applyBorder="1"/>
    <xf numFmtId="3" fontId="0" fillId="0" borderId="26" xfId="0" applyNumberFormat="1" applyFill="1" applyBorder="1"/>
    <xf numFmtId="3" fontId="0" fillId="0" borderId="1" xfId="0" applyNumberFormat="1" applyFill="1" applyBorder="1"/>
    <xf numFmtId="3" fontId="0" fillId="0" borderId="28" xfId="0" applyNumberFormat="1" applyFill="1" applyBorder="1"/>
    <xf numFmtId="3" fontId="0" fillId="0" borderId="3" xfId="0" applyNumberFormat="1" applyFill="1" applyBorder="1"/>
    <xf numFmtId="3" fontId="0" fillId="0" borderId="21" xfId="0" applyNumberFormat="1" applyFill="1" applyBorder="1"/>
    <xf numFmtId="3" fontId="0" fillId="0" borderId="2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3" fontId="0" fillId="0" borderId="3" xfId="0" applyNumberFormat="1" applyFill="1" applyBorder="1" applyAlignment="1">
      <alignment vertical="center"/>
    </xf>
    <xf numFmtId="168" fontId="11" fillId="5" borderId="26" xfId="1" applyNumberFormat="1" applyFont="1" applyFill="1" applyBorder="1" applyAlignment="1">
      <alignment horizontal="center" wrapText="1"/>
    </xf>
    <xf numFmtId="0" fontId="6" fillId="0" borderId="22" xfId="0" applyFont="1" applyBorder="1" applyAlignment="1">
      <alignment horizontal="right"/>
    </xf>
    <xf numFmtId="3" fontId="13" fillId="0" borderId="23" xfId="0" applyNumberFormat="1" applyFont="1" applyBorder="1" applyAlignment="1">
      <alignment horizontal="center"/>
    </xf>
    <xf numFmtId="3" fontId="14" fillId="5" borderId="36" xfId="0" applyNumberFormat="1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19" fillId="0" borderId="0" xfId="0" applyFont="1" applyBorder="1" applyAlignment="1">
      <alignment horizontal="center" wrapText="1"/>
    </xf>
    <xf numFmtId="169" fontId="21" fillId="0" borderId="0" xfId="0" applyNumberFormat="1" applyFont="1" applyBorder="1"/>
    <xf numFmtId="169" fontId="18" fillId="0" borderId="47" xfId="0" applyNumberFormat="1" applyFont="1" applyBorder="1"/>
    <xf numFmtId="168" fontId="18" fillId="0" borderId="0" xfId="1" applyNumberFormat="1" applyFont="1" applyFill="1" applyBorder="1" applyAlignment="1">
      <alignment horizontal="center" wrapText="1"/>
    </xf>
    <xf numFmtId="169" fontId="18" fillId="0" borderId="0" xfId="0" applyNumberFormat="1" applyFont="1" applyBorder="1" applyAlignment="1">
      <alignment horizontal="right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left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 applyAlignment="1">
      <alignment wrapText="1"/>
    </xf>
    <xf numFmtId="0" fontId="12" fillId="0" borderId="2" xfId="0" applyFont="1" applyBorder="1" applyAlignment="1">
      <alignment horizontal="center" wrapText="1"/>
    </xf>
    <xf numFmtId="0" fontId="6" fillId="0" borderId="36" xfId="0" applyFont="1" applyBorder="1"/>
    <xf numFmtId="0" fontId="12" fillId="0" borderId="0" xfId="0" applyFont="1" applyAlignment="1">
      <alignment horizontal="left"/>
    </xf>
    <xf numFmtId="0" fontId="23" fillId="0" borderId="0" xfId="0" applyFont="1"/>
    <xf numFmtId="0" fontId="13" fillId="0" borderId="0" xfId="0" applyFont="1" applyAlignment="1">
      <alignment horizontal="right"/>
    </xf>
    <xf numFmtId="0" fontId="4" fillId="0" borderId="0" xfId="0" applyFont="1" applyAlignment="1">
      <alignment wrapText="1"/>
    </xf>
    <xf numFmtId="0" fontId="4" fillId="0" borderId="0" xfId="0" applyFont="1"/>
    <xf numFmtId="171" fontId="10" fillId="5" borderId="0" xfId="0" applyNumberFormat="1" applyFont="1" applyFill="1" applyAlignment="1">
      <alignment horizontal="center"/>
    </xf>
    <xf numFmtId="0" fontId="13" fillId="0" borderId="24" xfId="0" applyFont="1" applyBorder="1" applyAlignment="1">
      <alignment horizontal="center" wrapText="1"/>
    </xf>
    <xf numFmtId="3" fontId="13" fillId="0" borderId="24" xfId="0" applyNumberFormat="1" applyFont="1" applyBorder="1"/>
    <xf numFmtId="0" fontId="6" fillId="0" borderId="51" xfId="0" applyFont="1" applyBorder="1"/>
    <xf numFmtId="0" fontId="23" fillId="0" borderId="0" xfId="0" applyFont="1" applyAlignment="1">
      <alignment horizontal="center"/>
    </xf>
    <xf numFmtId="0" fontId="13" fillId="0" borderId="50" xfId="0" applyFont="1" applyBorder="1" applyAlignment="1">
      <alignment horizontal="center" wrapText="1"/>
    </xf>
    <xf numFmtId="3" fontId="13" fillId="0" borderId="50" xfId="0" applyNumberFormat="1" applyFont="1" applyBorder="1"/>
    <xf numFmtId="3" fontId="14" fillId="0" borderId="13" xfId="0" applyNumberFormat="1" applyFont="1" applyBorder="1"/>
    <xf numFmtId="0" fontId="6" fillId="0" borderId="50" xfId="0" applyFont="1" applyBorder="1"/>
    <xf numFmtId="0" fontId="6" fillId="0" borderId="49" xfId="0" applyFont="1" applyBorder="1"/>
    <xf numFmtId="0" fontId="21" fillId="0" borderId="53" xfId="0" applyFont="1" applyBorder="1" applyAlignment="1">
      <alignment horizontal="center" wrapText="1"/>
    </xf>
    <xf numFmtId="3" fontId="21" fillId="0" borderId="53" xfId="0" applyNumberFormat="1" applyFont="1" applyBorder="1"/>
    <xf numFmtId="3" fontId="18" fillId="0" borderId="52" xfId="0" applyNumberFormat="1" applyFont="1" applyBorder="1"/>
    <xf numFmtId="3" fontId="14" fillId="0" borderId="52" xfId="0" applyNumberFormat="1" applyFont="1" applyBorder="1"/>
    <xf numFmtId="0" fontId="6" fillId="0" borderId="53" xfId="0" applyFont="1" applyBorder="1"/>
    <xf numFmtId="0" fontId="6" fillId="0" borderId="54" xfId="0" applyFont="1" applyBorder="1"/>
    <xf numFmtId="4" fontId="18" fillId="0" borderId="52" xfId="0" applyNumberFormat="1" applyFont="1" applyBorder="1"/>
    <xf numFmtId="0" fontId="15" fillId="0" borderId="0" xfId="0" applyFont="1" applyAlignment="1">
      <alignment horizontal="right" wrapText="1"/>
    </xf>
    <xf numFmtId="0" fontId="10" fillId="5" borderId="0" xfId="0" applyFont="1" applyFill="1" applyAlignment="1">
      <alignment wrapText="1"/>
    </xf>
    <xf numFmtId="3" fontId="14" fillId="0" borderId="55" xfId="0" applyNumberFormat="1" applyFont="1" applyBorder="1"/>
    <xf numFmtId="0" fontId="13" fillId="0" borderId="53" xfId="0" applyFont="1" applyBorder="1" applyAlignment="1">
      <alignment horizontal="center" wrapText="1"/>
    </xf>
    <xf numFmtId="3" fontId="13" fillId="0" borderId="53" xfId="0" applyNumberFormat="1" applyFont="1" applyBorder="1"/>
    <xf numFmtId="0" fontId="15" fillId="0" borderId="0" xfId="0" applyFont="1" applyAlignment="1">
      <alignment wrapText="1"/>
    </xf>
    <xf numFmtId="0" fontId="4" fillId="0" borderId="33" xfId="0" applyFont="1" applyBorder="1"/>
    <xf numFmtId="0" fontId="10" fillId="5" borderId="0" xfId="0" applyFont="1" applyFill="1"/>
    <xf numFmtId="4" fontId="21" fillId="0" borderId="53" xfId="0" applyNumberFormat="1" applyFont="1" applyBorder="1"/>
    <xf numFmtId="9" fontId="6" fillId="0" borderId="41" xfId="1" applyFont="1" applyBorder="1"/>
    <xf numFmtId="0" fontId="3" fillId="0" borderId="0" xfId="0" applyFont="1"/>
    <xf numFmtId="4" fontId="6" fillId="0" borderId="0" xfId="0" applyNumberFormat="1" applyFont="1"/>
    <xf numFmtId="0" fontId="3" fillId="0" borderId="0" xfId="0" applyFont="1" applyAlignment="1">
      <alignment horizontal="right"/>
    </xf>
    <xf numFmtId="9" fontId="6" fillId="0" borderId="0" xfId="1" applyFont="1"/>
    <xf numFmtId="9" fontId="6" fillId="0" borderId="31" xfId="1" applyFont="1" applyBorder="1"/>
    <xf numFmtId="0" fontId="14" fillId="0" borderId="4" xfId="0" applyFont="1" applyBorder="1" applyAlignment="1"/>
    <xf numFmtId="0" fontId="15" fillId="0" borderId="57" xfId="0" applyFont="1" applyBorder="1" applyAlignment="1">
      <alignment horizontal="center" wrapText="1"/>
    </xf>
    <xf numFmtId="0" fontId="19" fillId="0" borderId="58" xfId="0" applyFont="1" applyBorder="1" applyAlignment="1">
      <alignment horizontal="center" wrapText="1"/>
    </xf>
    <xf numFmtId="0" fontId="15" fillId="0" borderId="27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15" fillId="0" borderId="59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3" fontId="13" fillId="0" borderId="0" xfId="0" applyNumberFormat="1" applyFont="1" applyBorder="1"/>
    <xf numFmtId="3" fontId="14" fillId="0" borderId="0" xfId="0" applyNumberFormat="1" applyFont="1" applyBorder="1"/>
    <xf numFmtId="0" fontId="15" fillId="0" borderId="56" xfId="0" applyFont="1" applyBorder="1" applyAlignment="1">
      <alignment horizontal="center" wrapText="1"/>
    </xf>
    <xf numFmtId="0" fontId="12" fillId="0" borderId="56" xfId="0" applyFont="1" applyBorder="1" applyAlignment="1">
      <alignment horizontal="center" wrapText="1"/>
    </xf>
    <xf numFmtId="0" fontId="6" fillId="0" borderId="53" xfId="0" applyFont="1" applyBorder="1" applyAlignment="1">
      <alignment horizontal="center" wrapText="1"/>
    </xf>
    <xf numFmtId="3" fontId="6" fillId="0" borderId="5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6" fillId="0" borderId="53" xfId="0" applyNumberFormat="1" applyFont="1" applyFill="1" applyBorder="1" applyAlignment="1">
      <alignment horizontal="center" vertical="center"/>
    </xf>
    <xf numFmtId="3" fontId="6" fillId="0" borderId="53" xfId="0" applyNumberFormat="1" applyFont="1" applyFill="1" applyBorder="1" applyAlignment="1">
      <alignment horizontal="center"/>
    </xf>
    <xf numFmtId="3" fontId="10" fillId="0" borderId="52" xfId="0" applyNumberFormat="1" applyFont="1" applyFill="1" applyBorder="1" applyAlignment="1">
      <alignment horizontal="center"/>
    </xf>
    <xf numFmtId="0" fontId="19" fillId="0" borderId="56" xfId="0" applyFont="1" applyBorder="1" applyAlignment="1">
      <alignment horizontal="center" wrapText="1"/>
    </xf>
    <xf numFmtId="0" fontId="13" fillId="0" borderId="23" xfId="0" applyFont="1" applyBorder="1" applyAlignment="1">
      <alignment horizontal="center" wrapText="1"/>
    </xf>
    <xf numFmtId="3" fontId="13" fillId="0" borderId="23" xfId="0" applyNumberFormat="1" applyFont="1" applyBorder="1"/>
    <xf numFmtId="3" fontId="14" fillId="0" borderId="34" xfId="0" applyNumberFormat="1" applyFont="1" applyBorder="1"/>
    <xf numFmtId="3" fontId="11" fillId="0" borderId="52" xfId="0" applyNumberFormat="1" applyFont="1" applyBorder="1"/>
    <xf numFmtId="3" fontId="11" fillId="0" borderId="55" xfId="0" applyNumberFormat="1" applyFont="1" applyBorder="1"/>
    <xf numFmtId="3" fontId="11" fillId="0" borderId="34" xfId="0" applyNumberFormat="1" applyFont="1" applyBorder="1"/>
    <xf numFmtId="0" fontId="12" fillId="0" borderId="0" xfId="0" applyFont="1" applyBorder="1" applyAlignment="1">
      <alignment wrapText="1"/>
    </xf>
    <xf numFmtId="0" fontId="10" fillId="0" borderId="0" xfId="0" applyFont="1" applyBorder="1"/>
    <xf numFmtId="0" fontId="4" fillId="0" borderId="0" xfId="0" applyFont="1" applyBorder="1"/>
    <xf numFmtId="0" fontId="2" fillId="0" borderId="0" xfId="0" applyFont="1" applyAlignment="1">
      <alignment horizontal="left"/>
    </xf>
    <xf numFmtId="169" fontId="6" fillId="0" borderId="0" xfId="0" applyNumberFormat="1" applyFont="1"/>
    <xf numFmtId="0" fontId="1" fillId="0" borderId="0" xfId="0" applyFont="1"/>
    <xf numFmtId="0" fontId="6" fillId="0" borderId="53" xfId="0" applyFont="1" applyBorder="1" applyAlignment="1">
      <alignment wrapText="1"/>
    </xf>
    <xf numFmtId="0" fontId="14" fillId="0" borderId="56" xfId="0" applyFont="1" applyBorder="1" applyAlignment="1">
      <alignment horizontal="right" wrapText="1"/>
    </xf>
    <xf numFmtId="0" fontId="14" fillId="0" borderId="52" xfId="0" applyFont="1" applyBorder="1" applyAlignment="1">
      <alignment horizontal="center" wrapText="1"/>
    </xf>
    <xf numFmtId="9" fontId="10" fillId="5" borderId="52" xfId="1" applyNumberFormat="1" applyFont="1" applyFill="1" applyBorder="1"/>
    <xf numFmtId="9" fontId="0" fillId="0" borderId="1" xfId="0" applyNumberFormat="1" applyBorder="1"/>
    <xf numFmtId="0" fontId="0" fillId="9" borderId="1" xfId="0" applyFill="1" applyBorder="1"/>
    <xf numFmtId="0" fontId="0" fillId="1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/>
    <xf numFmtId="0" fontId="22" fillId="11" borderId="1" xfId="0" applyFont="1" applyFill="1" applyBorder="1" applyAlignment="1">
      <alignment wrapText="1"/>
    </xf>
    <xf numFmtId="0" fontId="0" fillId="12" borderId="1" xfId="0" applyFill="1" applyBorder="1"/>
    <xf numFmtId="3" fontId="0" fillId="12" borderId="1" xfId="0" applyNumberFormat="1" applyFill="1" applyBorder="1"/>
    <xf numFmtId="0" fontId="22" fillId="2" borderId="28" xfId="0" applyFont="1" applyFill="1" applyBorder="1" applyAlignment="1">
      <alignment horizontal="left"/>
    </xf>
    <xf numFmtId="0" fontId="22" fillId="2" borderId="30" xfId="0" applyFont="1" applyFill="1" applyBorder="1" applyAlignment="1">
      <alignment horizontal="left"/>
    </xf>
    <xf numFmtId="0" fontId="22" fillId="2" borderId="29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22" fillId="9" borderId="28" xfId="0" applyFont="1" applyFill="1" applyBorder="1" applyAlignment="1">
      <alignment horizontal="left"/>
    </xf>
    <xf numFmtId="0" fontId="22" fillId="9" borderId="30" xfId="0" applyFont="1" applyFill="1" applyBorder="1" applyAlignment="1">
      <alignment horizontal="left"/>
    </xf>
    <xf numFmtId="0" fontId="22" fillId="9" borderId="29" xfId="0" applyFont="1" applyFill="1" applyBorder="1" applyAlignment="1">
      <alignment horizontal="left"/>
    </xf>
    <xf numFmtId="0" fontId="10" fillId="0" borderId="1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4" fillId="0" borderId="13" xfId="0" applyFont="1" applyBorder="1" applyAlignment="1">
      <alignment horizontal="center" wrapText="1"/>
    </xf>
    <xf numFmtId="0" fontId="14" fillId="0" borderId="4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3" fillId="0" borderId="48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13" fillId="0" borderId="5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13" fillId="0" borderId="49" xfId="0" applyFont="1" applyBorder="1" applyAlignment="1">
      <alignment horizontal="left" vertical="top" wrapText="1"/>
    </xf>
    <xf numFmtId="0" fontId="13" fillId="0" borderId="44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0" fillId="6" borderId="1" xfId="0" applyFont="1" applyFill="1" applyBorder="1" applyAlignment="1">
      <alignment horizontal="left" vertical="center"/>
    </xf>
  </cellXfs>
  <cellStyles count="3">
    <cellStyle name="Comparison #" xfId="2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FF"/>
      <color rgb="FF5ACDE8"/>
      <color rgb="FFCC99FF"/>
      <color rgb="FF6994D9"/>
      <color rgb="FFF4D4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254000</xdr:colOff>
      <xdr:row>5</xdr:row>
      <xdr:rowOff>800100</xdr:rowOff>
    </xdr:from>
    <xdr:to>
      <xdr:col>66</xdr:col>
      <xdr:colOff>628650</xdr:colOff>
      <xdr:row>29</xdr:row>
      <xdr:rowOff>152604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E4AB96-6A61-4072-A75B-D651DDED6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99600" y="1778000"/>
          <a:ext cx="6165850" cy="55755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685799</xdr:colOff>
      <xdr:row>2</xdr:row>
      <xdr:rowOff>0</xdr:rowOff>
    </xdr:from>
    <xdr:to>
      <xdr:col>10</xdr:col>
      <xdr:colOff>154002</xdr:colOff>
      <xdr:row>26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06A46-25D8-4C1C-9B9D-C56ADD9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799" y="406400"/>
          <a:ext cx="6326203" cy="4953000"/>
        </a:xfrm>
        <a:prstGeom prst="rect">
          <a:avLst/>
        </a:prstGeom>
      </xdr:spPr>
    </xdr:pic>
    <xdr:clientData/>
  </xdr:twoCellAnchor>
  <xdr:twoCellAnchor editAs="oneCell">
    <xdr:from>
      <xdr:col>19</xdr:col>
      <xdr:colOff>400051</xdr:colOff>
      <xdr:row>2</xdr:row>
      <xdr:rowOff>63500</xdr:rowOff>
    </xdr:from>
    <xdr:to>
      <xdr:col>28</xdr:col>
      <xdr:colOff>203201</xdr:colOff>
      <xdr:row>26</xdr:row>
      <xdr:rowOff>15346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E545C8-672B-4CF0-8876-CE79111A8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30251" y="469900"/>
          <a:ext cx="5975350" cy="4828646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2</xdr:row>
      <xdr:rowOff>12701</xdr:rowOff>
    </xdr:from>
    <xdr:to>
      <xdr:col>19</xdr:col>
      <xdr:colOff>241301</xdr:colOff>
      <xdr:row>29</xdr:row>
      <xdr:rowOff>101805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604C84-F131-4C93-B998-DA18BDDD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1" y="419101"/>
          <a:ext cx="6165850" cy="55755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6"/>
  <sheetViews>
    <sheetView tabSelected="1" zoomScale="75" zoomScaleNormal="75" workbookViewId="0"/>
  </sheetViews>
  <sheetFormatPr defaultColWidth="11" defaultRowHeight="15.75" x14ac:dyDescent="0.25"/>
  <cols>
    <col min="1" max="1" width="3.125" customWidth="1"/>
  </cols>
  <sheetData>
    <row r="2" spans="2:15" x14ac:dyDescent="0.25">
      <c r="B2" s="254" t="s">
        <v>129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6"/>
    </row>
    <row r="4" spans="2:15" x14ac:dyDescent="0.25">
      <c r="B4" s="1" t="s">
        <v>5</v>
      </c>
    </row>
    <row r="5" spans="2:15" x14ac:dyDescent="0.25">
      <c r="B5" s="168" t="s">
        <v>130</v>
      </c>
    </row>
    <row r="6" spans="2:15" x14ac:dyDescent="0.25">
      <c r="B6" s="2"/>
    </row>
    <row r="7" spans="2:15" x14ac:dyDescent="0.25">
      <c r="B7" s="1" t="s">
        <v>6</v>
      </c>
    </row>
    <row r="8" spans="2:15" x14ac:dyDescent="0.25">
      <c r="B8" s="28" t="s">
        <v>124</v>
      </c>
    </row>
    <row r="9" spans="2:15" x14ac:dyDescent="0.25">
      <c r="B9" s="168" t="s">
        <v>131</v>
      </c>
    </row>
    <row r="10" spans="2:15" x14ac:dyDescent="0.25">
      <c r="B10" s="169" t="s">
        <v>132</v>
      </c>
    </row>
    <row r="11" spans="2:15" x14ac:dyDescent="0.25">
      <c r="B11" s="32" t="s">
        <v>118</v>
      </c>
    </row>
    <row r="12" spans="2:15" x14ac:dyDescent="0.25">
      <c r="B12" s="32" t="s">
        <v>119</v>
      </c>
    </row>
    <row r="13" spans="2:15" x14ac:dyDescent="0.25">
      <c r="B13" s="169" t="s">
        <v>133</v>
      </c>
    </row>
    <row r="14" spans="2:15" x14ac:dyDescent="0.25">
      <c r="B14" s="3"/>
    </row>
    <row r="15" spans="2:15" x14ac:dyDescent="0.25">
      <c r="B15" s="1" t="s">
        <v>125</v>
      </c>
    </row>
    <row r="16" spans="2:15" x14ac:dyDescent="0.25">
      <c r="B16" s="2" t="s">
        <v>7</v>
      </c>
    </row>
    <row r="17" spans="2:3" x14ac:dyDescent="0.25">
      <c r="B17" s="28" t="s">
        <v>120</v>
      </c>
      <c r="C17" s="28"/>
    </row>
    <row r="18" spans="2:3" x14ac:dyDescent="0.25">
      <c r="B18" s="2"/>
      <c r="C18" s="28" t="s">
        <v>121</v>
      </c>
    </row>
    <row r="19" spans="2:3" x14ac:dyDescent="0.25">
      <c r="B19" s="2"/>
      <c r="C19" s="28" t="s">
        <v>8</v>
      </c>
    </row>
    <row r="20" spans="2:3" x14ac:dyDescent="0.25">
      <c r="B20" s="2"/>
      <c r="C20" s="28" t="s">
        <v>122</v>
      </c>
    </row>
    <row r="21" spans="2:3" x14ac:dyDescent="0.25">
      <c r="C21" s="28" t="s">
        <v>123</v>
      </c>
    </row>
    <row r="23" spans="2:3" x14ac:dyDescent="0.25">
      <c r="B23" s="1" t="s">
        <v>134</v>
      </c>
    </row>
    <row r="24" spans="2:3" x14ac:dyDescent="0.25">
      <c r="B24" s="170" t="s">
        <v>135</v>
      </c>
    </row>
    <row r="25" spans="2:3" x14ac:dyDescent="0.25">
      <c r="B25" s="170" t="s">
        <v>136</v>
      </c>
    </row>
    <row r="26" spans="2:3" x14ac:dyDescent="0.25">
      <c r="B26" s="170" t="s">
        <v>137</v>
      </c>
    </row>
  </sheetData>
  <mergeCells count="1">
    <mergeCell ref="B2:O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1"/>
  <sheetViews>
    <sheetView zoomScale="75" zoomScaleNormal="75" workbookViewId="0"/>
  </sheetViews>
  <sheetFormatPr defaultColWidth="9.5" defaultRowHeight="15.75" x14ac:dyDescent="0.25"/>
  <cols>
    <col min="1" max="1" width="3.125" customWidth="1"/>
    <col min="2" max="2" width="10" style="5" bestFit="1" customWidth="1"/>
    <col min="3" max="3" width="24.5" bestFit="1" customWidth="1"/>
    <col min="4" max="5" width="12.125" customWidth="1"/>
    <col min="6" max="6" width="11.125" customWidth="1"/>
    <col min="7" max="7" width="11.375" customWidth="1"/>
    <col min="8" max="8" width="11.5" customWidth="1"/>
    <col min="9" max="9" width="2.375" customWidth="1"/>
  </cols>
  <sheetData>
    <row r="2" spans="2:8" x14ac:dyDescent="0.25">
      <c r="B2" s="258" t="s">
        <v>128</v>
      </c>
      <c r="C2" s="259"/>
      <c r="D2" s="259"/>
      <c r="E2" s="259"/>
      <c r="F2" s="259"/>
      <c r="G2" s="259"/>
      <c r="H2" s="260"/>
    </row>
    <row r="4" spans="2:8" s="11" customFormat="1" ht="64.349999999999994" customHeight="1" x14ac:dyDescent="0.25">
      <c r="B4" s="7" t="s">
        <v>20</v>
      </c>
      <c r="C4" s="8" t="s">
        <v>21</v>
      </c>
      <c r="D4" s="9" t="s">
        <v>22</v>
      </c>
      <c r="E4" s="9" t="s">
        <v>23</v>
      </c>
      <c r="F4" s="10" t="s">
        <v>24</v>
      </c>
      <c r="G4" s="10" t="s">
        <v>25</v>
      </c>
      <c r="H4" s="10" t="s">
        <v>26</v>
      </c>
    </row>
    <row r="5" spans="2:8" s="11" customFormat="1" ht="15" customHeight="1" x14ac:dyDescent="0.25">
      <c r="F5" s="12"/>
      <c r="G5" s="12"/>
      <c r="H5" s="12"/>
    </row>
    <row r="6" spans="2:8" x14ac:dyDescent="0.25">
      <c r="B6" s="257" t="s">
        <v>27</v>
      </c>
      <c r="C6" s="13" t="s">
        <v>28</v>
      </c>
      <c r="D6" s="14">
        <v>286948</v>
      </c>
      <c r="E6" s="82">
        <f>ROUND(D6*1.2/1.8,0)</f>
        <v>191299</v>
      </c>
      <c r="F6" s="85" t="s">
        <v>3</v>
      </c>
      <c r="G6" s="86" t="s">
        <v>1</v>
      </c>
      <c r="H6" s="85" t="s">
        <v>3</v>
      </c>
    </row>
    <row r="7" spans="2:8" x14ac:dyDescent="0.25">
      <c r="B7" s="257"/>
      <c r="C7" s="13" t="s">
        <v>29</v>
      </c>
      <c r="D7" s="14">
        <v>561204</v>
      </c>
      <c r="E7" s="82">
        <f t="shared" ref="E7:E50" si="0">ROUND(D7*1.2/1.8,0)</f>
        <v>374136</v>
      </c>
      <c r="F7" s="85" t="s">
        <v>3</v>
      </c>
      <c r="G7" s="86" t="s">
        <v>1</v>
      </c>
      <c r="H7" s="85" t="s">
        <v>3</v>
      </c>
    </row>
    <row r="8" spans="2:8" x14ac:dyDescent="0.25">
      <c r="B8" s="257"/>
      <c r="C8" s="13" t="s">
        <v>30</v>
      </c>
      <c r="D8" s="14">
        <v>149909</v>
      </c>
      <c r="E8" s="82">
        <f t="shared" si="0"/>
        <v>99939</v>
      </c>
      <c r="F8" s="85" t="s">
        <v>3</v>
      </c>
      <c r="G8" s="86" t="s">
        <v>1</v>
      </c>
      <c r="H8" s="85" t="s">
        <v>3</v>
      </c>
    </row>
    <row r="9" spans="2:8" x14ac:dyDescent="0.25">
      <c r="B9" s="257"/>
      <c r="C9" s="13" t="s">
        <v>31</v>
      </c>
      <c r="D9" s="14">
        <v>252245</v>
      </c>
      <c r="E9" s="82">
        <f t="shared" si="0"/>
        <v>168163</v>
      </c>
      <c r="F9" s="85" t="s">
        <v>3</v>
      </c>
      <c r="G9" s="86" t="s">
        <v>1</v>
      </c>
      <c r="H9" s="85" t="s">
        <v>3</v>
      </c>
    </row>
    <row r="10" spans="2:8" ht="16.5" thickBot="1" x14ac:dyDescent="0.3">
      <c r="B10" s="257"/>
      <c r="C10" s="13" t="s">
        <v>32</v>
      </c>
      <c r="D10" s="16">
        <v>165379</v>
      </c>
      <c r="E10" s="83">
        <f t="shared" si="0"/>
        <v>110253</v>
      </c>
      <c r="F10" s="85" t="s">
        <v>3</v>
      </c>
      <c r="G10" s="86" t="s">
        <v>1</v>
      </c>
      <c r="H10" s="85" t="s">
        <v>3</v>
      </c>
    </row>
    <row r="11" spans="2:8" ht="16.5" thickBot="1" x14ac:dyDescent="0.3">
      <c r="B11" s="257"/>
      <c r="C11" s="17" t="s">
        <v>33</v>
      </c>
      <c r="D11" s="18">
        <f>SUM(D6:D10)</f>
        <v>1415685</v>
      </c>
      <c r="E11" s="18">
        <f>SUM(E6:E10)</f>
        <v>943790</v>
      </c>
      <c r="F11" s="15"/>
      <c r="G11" s="15"/>
      <c r="H11" s="15"/>
    </row>
    <row r="12" spans="2:8" x14ac:dyDescent="0.25">
      <c r="B12" s="257" t="s">
        <v>34</v>
      </c>
      <c r="C12" s="13" t="s">
        <v>35</v>
      </c>
      <c r="D12" s="155">
        <v>270347</v>
      </c>
      <c r="E12" s="150">
        <f t="shared" si="0"/>
        <v>180231</v>
      </c>
      <c r="F12" s="85" t="s">
        <v>3</v>
      </c>
      <c r="G12" s="85" t="s">
        <v>3</v>
      </c>
      <c r="H12" s="85" t="s">
        <v>3</v>
      </c>
    </row>
    <row r="13" spans="2:8" x14ac:dyDescent="0.25">
      <c r="B13" s="257"/>
      <c r="C13" s="13" t="s">
        <v>36</v>
      </c>
      <c r="D13" s="156">
        <v>136234</v>
      </c>
      <c r="E13" s="152">
        <f t="shared" si="0"/>
        <v>90823</v>
      </c>
      <c r="F13" s="85" t="s">
        <v>3</v>
      </c>
      <c r="G13" s="85" t="s">
        <v>3</v>
      </c>
      <c r="H13" s="85" t="s">
        <v>3</v>
      </c>
    </row>
    <row r="14" spans="2:8" x14ac:dyDescent="0.25">
      <c r="B14" s="257"/>
      <c r="C14" s="13" t="s">
        <v>37</v>
      </c>
      <c r="D14" s="156">
        <v>288083</v>
      </c>
      <c r="E14" s="152">
        <f t="shared" si="0"/>
        <v>192055</v>
      </c>
      <c r="F14" s="85" t="s">
        <v>3</v>
      </c>
      <c r="G14" s="85" t="s">
        <v>3</v>
      </c>
      <c r="H14" s="85" t="s">
        <v>3</v>
      </c>
    </row>
    <row r="15" spans="2:8" x14ac:dyDescent="0.25">
      <c r="B15" s="257"/>
      <c r="C15" s="13" t="s">
        <v>38</v>
      </c>
      <c r="D15" s="156">
        <v>714252</v>
      </c>
      <c r="E15" s="152">
        <f t="shared" si="0"/>
        <v>476168</v>
      </c>
      <c r="F15" s="85" t="s">
        <v>3</v>
      </c>
      <c r="G15" s="85" t="s">
        <v>3</v>
      </c>
      <c r="H15" s="85" t="s">
        <v>3</v>
      </c>
    </row>
    <row r="16" spans="2:8" ht="16.5" thickBot="1" x14ac:dyDescent="0.3">
      <c r="B16" s="257"/>
      <c r="C16" s="13" t="s">
        <v>39</v>
      </c>
      <c r="D16" s="157">
        <v>596375</v>
      </c>
      <c r="E16" s="154">
        <f t="shared" si="0"/>
        <v>397583</v>
      </c>
      <c r="F16" s="85" t="s">
        <v>3</v>
      </c>
      <c r="G16" s="87" t="s">
        <v>40</v>
      </c>
      <c r="H16" s="85" t="s">
        <v>3</v>
      </c>
    </row>
    <row r="17" spans="2:8" ht="16.5" thickBot="1" x14ac:dyDescent="0.3">
      <c r="B17" s="257"/>
      <c r="C17" s="17" t="s">
        <v>41</v>
      </c>
      <c r="D17" s="18">
        <f>SUM(D12:D16)</f>
        <v>2005291</v>
      </c>
      <c r="E17" s="18">
        <f>SUM(E12:E16)</f>
        <v>1336860</v>
      </c>
      <c r="F17" s="15"/>
      <c r="G17" s="15"/>
      <c r="H17" s="15"/>
    </row>
    <row r="18" spans="2:8" x14ac:dyDescent="0.25">
      <c r="B18" s="257" t="s">
        <v>42</v>
      </c>
      <c r="C18" s="13" t="s">
        <v>43</v>
      </c>
      <c r="D18" s="20">
        <v>204113</v>
      </c>
      <c r="E18" s="84">
        <f t="shared" si="0"/>
        <v>136075</v>
      </c>
      <c r="F18" s="87" t="s">
        <v>40</v>
      </c>
      <c r="G18" s="86" t="s">
        <v>1</v>
      </c>
      <c r="H18" s="87" t="s">
        <v>40</v>
      </c>
    </row>
    <row r="19" spans="2:8" x14ac:dyDescent="0.25">
      <c r="B19" s="257"/>
      <c r="C19" s="13" t="s">
        <v>44</v>
      </c>
      <c r="D19" s="14">
        <v>251798</v>
      </c>
      <c r="E19" s="82">
        <f t="shared" si="0"/>
        <v>167865</v>
      </c>
      <c r="F19" s="85" t="s">
        <v>3</v>
      </c>
      <c r="G19" s="86" t="s">
        <v>1</v>
      </c>
      <c r="H19" s="85" t="s">
        <v>3</v>
      </c>
    </row>
    <row r="20" spans="2:8" x14ac:dyDescent="0.25">
      <c r="B20" s="257"/>
      <c r="C20" s="13" t="s">
        <v>45</v>
      </c>
      <c r="D20" s="14">
        <v>270066</v>
      </c>
      <c r="E20" s="82">
        <f t="shared" si="0"/>
        <v>180044</v>
      </c>
      <c r="F20" s="87" t="s">
        <v>40</v>
      </c>
      <c r="G20" s="86" t="s">
        <v>1</v>
      </c>
      <c r="H20" s="87" t="s">
        <v>40</v>
      </c>
    </row>
    <row r="21" spans="2:8" ht="16.5" thickBot="1" x14ac:dyDescent="0.3">
      <c r="B21" s="257"/>
      <c r="C21" s="13" t="s">
        <v>46</v>
      </c>
      <c r="D21" s="16">
        <v>378953</v>
      </c>
      <c r="E21" s="83">
        <f t="shared" si="0"/>
        <v>252635</v>
      </c>
      <c r="F21" s="87" t="s">
        <v>40</v>
      </c>
      <c r="G21" s="86" t="s">
        <v>1</v>
      </c>
      <c r="H21" s="87" t="s">
        <v>40</v>
      </c>
    </row>
    <row r="22" spans="2:8" ht="16.5" thickBot="1" x14ac:dyDescent="0.3">
      <c r="B22" s="257"/>
      <c r="C22" s="17" t="s">
        <v>47</v>
      </c>
      <c r="D22" s="18">
        <f>SUM(D18:D21)</f>
        <v>1104930</v>
      </c>
      <c r="E22" s="18">
        <f>SUM(E18:E21)</f>
        <v>736619</v>
      </c>
      <c r="F22" s="15"/>
      <c r="G22" s="15"/>
      <c r="H22" s="15"/>
    </row>
    <row r="23" spans="2:8" x14ac:dyDescent="0.25">
      <c r="B23" s="257" t="s">
        <v>48</v>
      </c>
      <c r="C23" s="13" t="s">
        <v>49</v>
      </c>
      <c r="D23" s="20">
        <v>544040</v>
      </c>
      <c r="E23" s="84">
        <f t="shared" si="0"/>
        <v>362693</v>
      </c>
      <c r="F23" s="87" t="s">
        <v>40</v>
      </c>
      <c r="G23" s="86" t="s">
        <v>1</v>
      </c>
      <c r="H23" s="87" t="s">
        <v>40</v>
      </c>
    </row>
    <row r="24" spans="2:8" x14ac:dyDescent="0.25">
      <c r="B24" s="257"/>
      <c r="C24" s="13" t="s">
        <v>50</v>
      </c>
      <c r="D24" s="14">
        <v>273183</v>
      </c>
      <c r="E24" s="82">
        <f t="shared" si="0"/>
        <v>182122</v>
      </c>
      <c r="F24" s="87" t="s">
        <v>40</v>
      </c>
      <c r="G24" s="86" t="s">
        <v>1</v>
      </c>
      <c r="H24" s="87" t="s">
        <v>40</v>
      </c>
    </row>
    <row r="25" spans="2:8" x14ac:dyDescent="0.25">
      <c r="B25" s="257"/>
      <c r="C25" s="13" t="s">
        <v>51</v>
      </c>
      <c r="D25" s="14">
        <v>275036</v>
      </c>
      <c r="E25" s="82">
        <f t="shared" si="0"/>
        <v>183357</v>
      </c>
      <c r="F25" s="87" t="s">
        <v>40</v>
      </c>
      <c r="G25" s="86" t="s">
        <v>1</v>
      </c>
      <c r="H25" s="87" t="s">
        <v>40</v>
      </c>
    </row>
    <row r="26" spans="2:8" x14ac:dyDescent="0.25">
      <c r="B26" s="257"/>
      <c r="C26" s="13" t="s">
        <v>52</v>
      </c>
      <c r="D26" s="14">
        <v>322941</v>
      </c>
      <c r="E26" s="82">
        <f t="shared" si="0"/>
        <v>215294</v>
      </c>
      <c r="F26" s="87" t="s">
        <v>40</v>
      </c>
      <c r="G26" s="86" t="s">
        <v>1</v>
      </c>
      <c r="H26" s="87" t="s">
        <v>40</v>
      </c>
    </row>
    <row r="27" spans="2:8" ht="16.5" thickBot="1" x14ac:dyDescent="0.3">
      <c r="B27" s="257"/>
      <c r="C27" s="13" t="s">
        <v>53</v>
      </c>
      <c r="D27" s="16">
        <v>519151</v>
      </c>
      <c r="E27" s="83">
        <f t="shared" si="0"/>
        <v>346101</v>
      </c>
      <c r="F27" s="87" t="s">
        <v>40</v>
      </c>
      <c r="G27" s="86" t="s">
        <v>1</v>
      </c>
      <c r="H27" s="87" t="s">
        <v>40</v>
      </c>
    </row>
    <row r="28" spans="2:8" ht="16.5" thickBot="1" x14ac:dyDescent="0.3">
      <c r="B28" s="257"/>
      <c r="C28" s="17" t="s">
        <v>54</v>
      </c>
      <c r="D28" s="18">
        <f>SUM(D23:D27)</f>
        <v>1934351</v>
      </c>
      <c r="E28" s="18">
        <f>SUM(E23:E27)</f>
        <v>1289567</v>
      </c>
      <c r="F28" s="15"/>
      <c r="G28" s="15"/>
      <c r="H28" s="15"/>
    </row>
    <row r="29" spans="2:8" x14ac:dyDescent="0.25">
      <c r="B29" s="257" t="s">
        <v>55</v>
      </c>
      <c r="C29" s="13" t="s">
        <v>56</v>
      </c>
      <c r="D29" s="149">
        <v>156064</v>
      </c>
      <c r="E29" s="84">
        <f t="shared" si="0"/>
        <v>104043</v>
      </c>
      <c r="F29" s="85" t="s">
        <v>3</v>
      </c>
      <c r="G29" s="87" t="s">
        <v>40</v>
      </c>
      <c r="H29" s="85" t="s">
        <v>3</v>
      </c>
    </row>
    <row r="30" spans="2:8" x14ac:dyDescent="0.25">
      <c r="B30" s="257"/>
      <c r="C30" s="13" t="s">
        <v>57</v>
      </c>
      <c r="D30" s="151">
        <v>240723</v>
      </c>
      <c r="E30" s="82">
        <f t="shared" si="0"/>
        <v>160482</v>
      </c>
      <c r="F30" s="85" t="s">
        <v>3</v>
      </c>
      <c r="G30" s="87" t="s">
        <v>40</v>
      </c>
      <c r="H30" s="85" t="s">
        <v>3</v>
      </c>
    </row>
    <row r="31" spans="2:8" x14ac:dyDescent="0.25">
      <c r="B31" s="257"/>
      <c r="C31" s="13" t="s">
        <v>58</v>
      </c>
      <c r="D31" s="151">
        <v>358939</v>
      </c>
      <c r="E31" s="82">
        <f t="shared" si="0"/>
        <v>239293</v>
      </c>
      <c r="F31" s="85" t="s">
        <v>3</v>
      </c>
      <c r="G31" s="87" t="s">
        <v>40</v>
      </c>
      <c r="H31" s="85" t="s">
        <v>3</v>
      </c>
    </row>
    <row r="32" spans="2:8" x14ac:dyDescent="0.25">
      <c r="B32" s="257"/>
      <c r="C32" s="13" t="s">
        <v>59</v>
      </c>
      <c r="D32" s="151">
        <v>527151</v>
      </c>
      <c r="E32" s="82">
        <f>ROUND(D32*1.2/1.8,0)</f>
        <v>351434</v>
      </c>
      <c r="F32" s="87" t="s">
        <v>40</v>
      </c>
      <c r="G32" s="87" t="s">
        <v>40</v>
      </c>
      <c r="H32" s="87" t="s">
        <v>40</v>
      </c>
    </row>
    <row r="33" spans="2:8" ht="16.5" thickBot="1" x14ac:dyDescent="0.3">
      <c r="B33" s="257"/>
      <c r="C33" s="13" t="s">
        <v>60</v>
      </c>
      <c r="D33" s="153">
        <v>418588</v>
      </c>
      <c r="E33" s="83">
        <f t="shared" si="0"/>
        <v>279059</v>
      </c>
      <c r="F33" s="87" t="s">
        <v>40</v>
      </c>
      <c r="G33" s="87" t="s">
        <v>40</v>
      </c>
      <c r="H33" s="87" t="s">
        <v>40</v>
      </c>
    </row>
    <row r="34" spans="2:8" ht="16.5" thickBot="1" x14ac:dyDescent="0.3">
      <c r="B34" s="257"/>
      <c r="C34" s="17" t="s">
        <v>61</v>
      </c>
      <c r="D34" s="18">
        <f>SUM(D29:D33)</f>
        <v>1701465</v>
      </c>
      <c r="E34" s="18">
        <f>SUM(E29:E33)</f>
        <v>1134311</v>
      </c>
      <c r="F34" s="15"/>
      <c r="G34" s="15"/>
      <c r="H34" s="15"/>
    </row>
    <row r="35" spans="2:8" x14ac:dyDescent="0.25">
      <c r="B35" s="257" t="s">
        <v>62</v>
      </c>
      <c r="C35" s="13" t="s">
        <v>63</v>
      </c>
      <c r="D35" s="20">
        <v>169356</v>
      </c>
      <c r="E35" s="84">
        <f t="shared" si="0"/>
        <v>112904</v>
      </c>
      <c r="F35" s="85" t="s">
        <v>3</v>
      </c>
      <c r="G35" s="86" t="s">
        <v>1</v>
      </c>
      <c r="H35" s="85" t="s">
        <v>3</v>
      </c>
    </row>
    <row r="36" spans="2:8" x14ac:dyDescent="0.25">
      <c r="B36" s="257"/>
      <c r="C36" s="13" t="s">
        <v>64</v>
      </c>
      <c r="D36" s="14">
        <v>458370</v>
      </c>
      <c r="E36" s="82">
        <f t="shared" si="0"/>
        <v>305580</v>
      </c>
      <c r="F36" s="85" t="s">
        <v>3</v>
      </c>
      <c r="G36" s="86" t="s">
        <v>1</v>
      </c>
      <c r="H36" s="85" t="s">
        <v>3</v>
      </c>
    </row>
    <row r="37" spans="2:8" x14ac:dyDescent="0.25">
      <c r="B37" s="257"/>
      <c r="C37" s="13" t="s">
        <v>65</v>
      </c>
      <c r="D37" s="14">
        <v>250928</v>
      </c>
      <c r="E37" s="82">
        <f t="shared" si="0"/>
        <v>167285</v>
      </c>
      <c r="F37" s="85" t="s">
        <v>3</v>
      </c>
      <c r="G37" s="86" t="s">
        <v>1</v>
      </c>
      <c r="H37" s="85" t="s">
        <v>3</v>
      </c>
    </row>
    <row r="38" spans="2:8" x14ac:dyDescent="0.25">
      <c r="B38" s="257"/>
      <c r="C38" s="13" t="s">
        <v>66</v>
      </c>
      <c r="D38" s="14">
        <v>373978</v>
      </c>
      <c r="E38" s="82">
        <f t="shared" si="0"/>
        <v>249319</v>
      </c>
      <c r="F38" s="85" t="s">
        <v>3</v>
      </c>
      <c r="G38" s="86" t="s">
        <v>1</v>
      </c>
      <c r="H38" s="85" t="s">
        <v>3</v>
      </c>
    </row>
    <row r="39" spans="2:8" ht="16.5" thickBot="1" x14ac:dyDescent="0.3">
      <c r="B39" s="257"/>
      <c r="C39" s="13" t="s">
        <v>67</v>
      </c>
      <c r="D39" s="16">
        <v>210135</v>
      </c>
      <c r="E39" s="83">
        <f t="shared" si="0"/>
        <v>140090</v>
      </c>
      <c r="F39" s="85" t="s">
        <v>3</v>
      </c>
      <c r="G39" s="86" t="s">
        <v>1</v>
      </c>
      <c r="H39" s="85" t="s">
        <v>3</v>
      </c>
    </row>
    <row r="40" spans="2:8" ht="16.5" thickBot="1" x14ac:dyDescent="0.3">
      <c r="B40" s="257"/>
      <c r="C40" s="17" t="s">
        <v>68</v>
      </c>
      <c r="D40" s="18">
        <f>SUM(D35:D39)</f>
        <v>1462767</v>
      </c>
      <c r="E40" s="18">
        <f>SUM(E35:E39)</f>
        <v>975178</v>
      </c>
      <c r="F40" s="15"/>
      <c r="G40" s="15"/>
      <c r="H40" s="15"/>
    </row>
    <row r="41" spans="2:8" x14ac:dyDescent="0.25">
      <c r="B41" s="257" t="s">
        <v>69</v>
      </c>
      <c r="C41" s="13" t="s">
        <v>70</v>
      </c>
      <c r="D41" s="149">
        <v>251465</v>
      </c>
      <c r="E41" s="150">
        <f t="shared" si="0"/>
        <v>167643</v>
      </c>
      <c r="F41" s="87" t="s">
        <v>40</v>
      </c>
      <c r="G41" s="88" t="s">
        <v>4</v>
      </c>
      <c r="H41" s="87" t="s">
        <v>40</v>
      </c>
    </row>
    <row r="42" spans="2:8" x14ac:dyDescent="0.25">
      <c r="B42" s="257"/>
      <c r="C42" s="13" t="s">
        <v>71</v>
      </c>
      <c r="D42" s="151">
        <v>433152</v>
      </c>
      <c r="E42" s="152">
        <f t="shared" si="0"/>
        <v>288768</v>
      </c>
      <c r="F42" s="87" t="s">
        <v>40</v>
      </c>
      <c r="G42" s="88" t="s">
        <v>4</v>
      </c>
      <c r="H42" s="87" t="s">
        <v>40</v>
      </c>
    </row>
    <row r="43" spans="2:8" ht="16.5" thickBot="1" x14ac:dyDescent="0.3">
      <c r="B43" s="257"/>
      <c r="C43" s="13" t="s">
        <v>72</v>
      </c>
      <c r="D43" s="153">
        <v>440327</v>
      </c>
      <c r="E43" s="154">
        <f t="shared" si="0"/>
        <v>293551</v>
      </c>
      <c r="F43" s="87" t="s">
        <v>40</v>
      </c>
      <c r="G43" s="87" t="s">
        <v>40</v>
      </c>
      <c r="H43" s="87" t="s">
        <v>40</v>
      </c>
    </row>
    <row r="44" spans="2:8" ht="16.5" thickBot="1" x14ac:dyDescent="0.3">
      <c r="B44" s="257"/>
      <c r="C44" s="17" t="s">
        <v>73</v>
      </c>
      <c r="D44" s="18">
        <f>SUM(D41:D43)</f>
        <v>1124944</v>
      </c>
      <c r="E44" s="18">
        <f>SUM(E41:E43)</f>
        <v>749962</v>
      </c>
      <c r="F44" s="15"/>
      <c r="G44" s="15"/>
      <c r="H44" s="15"/>
    </row>
    <row r="45" spans="2:8" x14ac:dyDescent="0.25">
      <c r="B45" s="257" t="s">
        <v>74</v>
      </c>
      <c r="C45" s="13" t="s">
        <v>75</v>
      </c>
      <c r="D45" s="20">
        <v>295827</v>
      </c>
      <c r="E45" s="84">
        <f t="shared" si="0"/>
        <v>197218</v>
      </c>
      <c r="F45" s="87" t="s">
        <v>40</v>
      </c>
      <c r="G45" s="86" t="s">
        <v>1</v>
      </c>
      <c r="H45" s="87" t="s">
        <v>40</v>
      </c>
    </row>
    <row r="46" spans="2:8" x14ac:dyDescent="0.25">
      <c r="B46" s="257"/>
      <c r="C46" s="13" t="s">
        <v>76</v>
      </c>
      <c r="D46" s="14">
        <v>640726</v>
      </c>
      <c r="E46" s="82">
        <f t="shared" si="0"/>
        <v>427151</v>
      </c>
      <c r="F46" s="87" t="s">
        <v>40</v>
      </c>
      <c r="G46" s="86" t="s">
        <v>1</v>
      </c>
      <c r="H46" s="87" t="s">
        <v>40</v>
      </c>
    </row>
    <row r="47" spans="2:8" x14ac:dyDescent="0.25">
      <c r="B47" s="257"/>
      <c r="C47" s="13" t="s">
        <v>77</v>
      </c>
      <c r="D47" s="14">
        <v>282538</v>
      </c>
      <c r="E47" s="82">
        <f t="shared" si="0"/>
        <v>188359</v>
      </c>
      <c r="F47" s="87" t="s">
        <v>40</v>
      </c>
      <c r="G47" s="86" t="s">
        <v>1</v>
      </c>
      <c r="H47" s="87" t="s">
        <v>40</v>
      </c>
    </row>
    <row r="48" spans="2:8" x14ac:dyDescent="0.25">
      <c r="B48" s="257"/>
      <c r="C48" s="13" t="s">
        <v>78</v>
      </c>
      <c r="D48" s="14">
        <v>512772</v>
      </c>
      <c r="E48" s="82">
        <f t="shared" si="0"/>
        <v>341848</v>
      </c>
      <c r="F48" s="87" t="s">
        <v>40</v>
      </c>
      <c r="G48" s="86" t="s">
        <v>1</v>
      </c>
      <c r="H48" s="87" t="s">
        <v>40</v>
      </c>
    </row>
    <row r="49" spans="2:8" x14ac:dyDescent="0.25">
      <c r="B49" s="257"/>
      <c r="C49" s="13" t="s">
        <v>79</v>
      </c>
      <c r="D49" s="14">
        <v>518521</v>
      </c>
      <c r="E49" s="82">
        <f t="shared" si="0"/>
        <v>345681</v>
      </c>
      <c r="F49" s="87" t="s">
        <v>40</v>
      </c>
      <c r="G49" s="86" t="s">
        <v>1</v>
      </c>
      <c r="H49" s="87" t="s">
        <v>40</v>
      </c>
    </row>
    <row r="50" spans="2:8" ht="16.5" thickBot="1" x14ac:dyDescent="0.3">
      <c r="B50" s="257"/>
      <c r="C50" s="13" t="s">
        <v>80</v>
      </c>
      <c r="D50" s="16">
        <v>236418</v>
      </c>
      <c r="E50" s="83">
        <f t="shared" si="0"/>
        <v>157612</v>
      </c>
      <c r="F50" s="87" t="s">
        <v>40</v>
      </c>
      <c r="G50" s="86" t="s">
        <v>1</v>
      </c>
      <c r="H50" s="87" t="s">
        <v>40</v>
      </c>
    </row>
    <row r="51" spans="2:8" ht="16.5" thickBot="1" x14ac:dyDescent="0.3">
      <c r="B51" s="257"/>
      <c r="C51" s="17" t="s">
        <v>81</v>
      </c>
      <c r="D51" s="18">
        <f>SUM(D45:D50)</f>
        <v>2486802</v>
      </c>
      <c r="E51" s="18">
        <f>SUM(E45:E50)</f>
        <v>1657869</v>
      </c>
      <c r="F51" s="4"/>
      <c r="G51" s="4"/>
      <c r="H51" s="4"/>
    </row>
    <row r="52" spans="2:8" ht="16.5" thickBot="1" x14ac:dyDescent="0.3">
      <c r="B52" s="21"/>
      <c r="C52" s="22" t="s">
        <v>82</v>
      </c>
      <c r="D52" s="18">
        <f>SUM(D51,D44,D40,D34,D28,D22,D17,D11)</f>
        <v>13236235</v>
      </c>
      <c r="E52" s="18">
        <f>SUM(E51,E44,E40,E34,E28,E22,E17,E11)</f>
        <v>8824156</v>
      </c>
      <c r="F52" s="4"/>
      <c r="G52" s="4"/>
      <c r="H52" s="4"/>
    </row>
    <row r="53" spans="2:8" x14ac:dyDescent="0.25">
      <c r="F53" s="4"/>
      <c r="G53" s="4"/>
      <c r="H53" s="4"/>
    </row>
    <row r="61" spans="2:8" ht="60" customHeight="1" x14ac:dyDescent="0.25"/>
  </sheetData>
  <mergeCells count="9">
    <mergeCell ref="B45:B51"/>
    <mergeCell ref="B6:B11"/>
    <mergeCell ref="B12:B17"/>
    <mergeCell ref="B2:H2"/>
    <mergeCell ref="B18:B22"/>
    <mergeCell ref="B23:B28"/>
    <mergeCell ref="B29:B34"/>
    <mergeCell ref="B35:B40"/>
    <mergeCell ref="B41:B44"/>
  </mergeCells>
  <pageMargins left="0.7" right="0.7" top="0.75" bottom="0.75" header="0.3" footer="0.3"/>
  <pageSetup paperSize="9" orientation="portrait" r:id="rId1"/>
  <ignoredErrors>
    <ignoredError sqref="E11:E4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zoomScale="75" zoomScaleNormal="75" workbookViewId="0"/>
  </sheetViews>
  <sheetFormatPr defaultColWidth="8.875" defaultRowHeight="15" x14ac:dyDescent="0.25"/>
  <cols>
    <col min="1" max="1" width="3.125" style="28" customWidth="1"/>
    <col min="2" max="2" width="40.125" style="28" bestFit="1" customWidth="1"/>
    <col min="3" max="5" width="14.625" style="28" customWidth="1"/>
    <col min="6" max="6" width="0.875" style="28" customWidth="1"/>
    <col min="7" max="7" width="14.625" style="28" customWidth="1"/>
    <col min="8" max="8" width="2.625" style="28" customWidth="1"/>
    <col min="9" max="10" width="14.625" style="28" customWidth="1"/>
    <col min="11" max="11" width="11.125" style="28" bestFit="1" customWidth="1"/>
    <col min="12" max="16384" width="8.875" style="28"/>
  </cols>
  <sheetData>
    <row r="2" spans="2:10" ht="15.75" x14ac:dyDescent="0.25">
      <c r="B2" s="258" t="s">
        <v>127</v>
      </c>
      <c r="C2" s="259"/>
      <c r="D2" s="259"/>
      <c r="E2" s="259"/>
      <c r="F2" s="259"/>
      <c r="G2" s="260"/>
    </row>
    <row r="4" spans="2:10" x14ac:dyDescent="0.25">
      <c r="B4" s="133" t="s">
        <v>9</v>
      </c>
      <c r="C4" s="134" t="s">
        <v>0</v>
      </c>
      <c r="D4" s="134" t="s">
        <v>3</v>
      </c>
      <c r="E4" s="134" t="s">
        <v>4</v>
      </c>
      <c r="F4" s="134"/>
      <c r="G4" s="135" t="s">
        <v>83</v>
      </c>
    </row>
    <row r="5" spans="2:10" x14ac:dyDescent="0.25">
      <c r="B5" s="70"/>
      <c r="C5" s="33"/>
      <c r="D5" s="33"/>
      <c r="E5" s="33"/>
      <c r="F5" s="33"/>
      <c r="G5" s="47"/>
    </row>
    <row r="6" spans="2:10" x14ac:dyDescent="0.25">
      <c r="B6" s="136" t="s">
        <v>11</v>
      </c>
      <c r="C6" s="33"/>
      <c r="D6" s="33"/>
      <c r="E6" s="33"/>
      <c r="F6" s="33"/>
      <c r="G6" s="47"/>
    </row>
    <row r="7" spans="2:10" x14ac:dyDescent="0.25">
      <c r="B7" s="70" t="s">
        <v>12</v>
      </c>
      <c r="C7" s="33"/>
      <c r="D7" s="137">
        <v>2324000</v>
      </c>
      <c r="E7" s="33"/>
      <c r="F7" s="33"/>
      <c r="G7" s="47"/>
    </row>
    <row r="8" spans="2:10" x14ac:dyDescent="0.25">
      <c r="B8" s="70" t="s">
        <v>10</v>
      </c>
      <c r="C8" s="33"/>
      <c r="D8" s="137">
        <v>824500</v>
      </c>
      <c r="E8" s="33"/>
      <c r="F8" s="33"/>
      <c r="G8" s="47"/>
    </row>
    <row r="9" spans="2:10" ht="15.75" thickBot="1" x14ac:dyDescent="0.3">
      <c r="B9" s="70" t="s">
        <v>2</v>
      </c>
      <c r="C9" s="33"/>
      <c r="D9" s="138">
        <f>SUM(D7:D8)</f>
        <v>3148500</v>
      </c>
      <c r="E9" s="33"/>
      <c r="F9" s="33"/>
      <c r="G9" s="47"/>
    </row>
    <row r="10" spans="2:10" x14ac:dyDescent="0.25">
      <c r="B10" s="70"/>
      <c r="C10" s="33"/>
      <c r="D10" s="33"/>
      <c r="E10" s="33"/>
      <c r="F10" s="33"/>
      <c r="G10" s="47"/>
    </row>
    <row r="11" spans="2:10" x14ac:dyDescent="0.25">
      <c r="B11" s="136" t="s">
        <v>13</v>
      </c>
      <c r="C11" s="33"/>
      <c r="D11" s="137">
        <v>2447000</v>
      </c>
      <c r="E11" s="33"/>
      <c r="F11" s="33"/>
      <c r="G11" s="47"/>
    </row>
    <row r="12" spans="2:10" x14ac:dyDescent="0.25">
      <c r="B12" s="70"/>
      <c r="C12" s="33"/>
      <c r="D12" s="33"/>
      <c r="E12" s="33"/>
      <c r="F12" s="33"/>
      <c r="G12" s="47"/>
      <c r="I12" s="207" t="s">
        <v>176</v>
      </c>
      <c r="J12" s="209" t="s">
        <v>2</v>
      </c>
    </row>
    <row r="13" spans="2:10" ht="15.75" thickBot="1" x14ac:dyDescent="0.3">
      <c r="B13" s="136" t="s">
        <v>2</v>
      </c>
      <c r="C13" s="139">
        <v>13475785.039999999</v>
      </c>
      <c r="D13" s="140">
        <f>D11+D9</f>
        <v>5595500</v>
      </c>
      <c r="E13" s="139">
        <v>1300764</v>
      </c>
      <c r="F13" s="33"/>
      <c r="G13" s="141">
        <f>SUM(C13:E13)</f>
        <v>20372049.039999999</v>
      </c>
      <c r="I13" s="208">
        <f>'4. AMF Costs'!O55</f>
        <v>7134594.8888888899</v>
      </c>
      <c r="J13" s="208">
        <f>I13+G13</f>
        <v>27506643.928888887</v>
      </c>
    </row>
    <row r="14" spans="2:10" x14ac:dyDescent="0.25">
      <c r="B14" s="72"/>
      <c r="C14" s="211">
        <f>C13/J13</f>
        <v>0.48991018587502194</v>
      </c>
      <c r="D14" s="211">
        <f>D13/J13</f>
        <v>0.20342358066166405</v>
      </c>
      <c r="E14" s="211">
        <f>E13/$J$13</f>
        <v>4.7289084170456394E-2</v>
      </c>
      <c r="F14" s="45"/>
      <c r="G14" s="46"/>
      <c r="I14" s="210">
        <f>I13/$J$13</f>
        <v>0.25937714929285766</v>
      </c>
    </row>
    <row r="15" spans="2:10" x14ac:dyDescent="0.25">
      <c r="B15" s="33"/>
      <c r="D15" s="33"/>
      <c r="E15" s="33"/>
      <c r="F15" s="33"/>
    </row>
    <row r="16" spans="2:10" x14ac:dyDescent="0.25">
      <c r="B16" s="17" t="s">
        <v>18</v>
      </c>
      <c r="C16" s="134" t="s">
        <v>0</v>
      </c>
      <c r="D16" s="134" t="s">
        <v>3</v>
      </c>
      <c r="E16" s="134" t="s">
        <v>4</v>
      </c>
      <c r="F16" s="134"/>
      <c r="G16" s="135"/>
    </row>
    <row r="17" spans="2:7" x14ac:dyDescent="0.25">
      <c r="B17" s="70"/>
      <c r="C17" s="33"/>
      <c r="D17" s="33"/>
      <c r="E17" s="33"/>
      <c r="F17" s="33"/>
      <c r="G17" s="47"/>
    </row>
    <row r="18" spans="2:7" x14ac:dyDescent="0.25">
      <c r="B18" s="136" t="s">
        <v>85</v>
      </c>
      <c r="C18" s="142">
        <v>2.17</v>
      </c>
      <c r="D18" s="142">
        <v>2.0099999999999998</v>
      </c>
      <c r="E18" s="142">
        <v>2.17</v>
      </c>
      <c r="F18" s="33"/>
      <c r="G18" s="47"/>
    </row>
    <row r="19" spans="2:7" x14ac:dyDescent="0.25">
      <c r="B19" s="70"/>
      <c r="C19" s="33"/>
      <c r="D19" s="33"/>
      <c r="E19" s="33"/>
      <c r="F19" s="33"/>
      <c r="G19" s="47"/>
    </row>
    <row r="20" spans="2:7" x14ac:dyDescent="0.25">
      <c r="B20" s="70" t="s">
        <v>14</v>
      </c>
      <c r="C20" s="142">
        <v>0.41</v>
      </c>
      <c r="D20" s="142">
        <v>0.45</v>
      </c>
      <c r="E20" s="142">
        <v>0.41</v>
      </c>
      <c r="F20" s="33"/>
      <c r="G20" s="47"/>
    </row>
    <row r="21" spans="2:7" x14ac:dyDescent="0.25">
      <c r="B21" s="70" t="s">
        <v>15</v>
      </c>
      <c r="C21" s="143"/>
      <c r="D21" s="142">
        <v>0.05</v>
      </c>
      <c r="E21" s="143"/>
      <c r="F21" s="33"/>
      <c r="G21" s="47"/>
    </row>
    <row r="22" spans="2:7" x14ac:dyDescent="0.25">
      <c r="B22" s="70" t="s">
        <v>16</v>
      </c>
      <c r="C22" s="143"/>
      <c r="D22" s="142">
        <v>0.1</v>
      </c>
      <c r="E22" s="143"/>
      <c r="F22" s="33"/>
      <c r="G22" s="47"/>
    </row>
    <row r="23" spans="2:7" x14ac:dyDescent="0.25">
      <c r="B23" s="70" t="s">
        <v>89</v>
      </c>
      <c r="C23" s="143"/>
      <c r="D23" s="142">
        <v>0.01</v>
      </c>
      <c r="E23" s="143"/>
      <c r="F23" s="33"/>
      <c r="G23" s="47"/>
    </row>
    <row r="24" spans="2:7" ht="15.75" thickBot="1" x14ac:dyDescent="0.3">
      <c r="B24" s="136" t="s">
        <v>86</v>
      </c>
      <c r="C24" s="144">
        <f>SUM(C20:C23)</f>
        <v>0.41</v>
      </c>
      <c r="D24" s="144">
        <f>SUM(D20:D23)</f>
        <v>0.61</v>
      </c>
      <c r="E24" s="144">
        <f>SUM(E20:E23)</f>
        <v>0.41</v>
      </c>
      <c r="F24" s="33"/>
      <c r="G24" s="47"/>
    </row>
    <row r="25" spans="2:7" x14ac:dyDescent="0.25">
      <c r="B25" s="70"/>
      <c r="C25" s="33"/>
      <c r="D25" s="145"/>
      <c r="E25" s="33"/>
      <c r="F25" s="33"/>
      <c r="G25" s="47"/>
    </row>
    <row r="26" spans="2:7" ht="15.75" thickBot="1" x14ac:dyDescent="0.3">
      <c r="B26" s="70" t="s">
        <v>84</v>
      </c>
      <c r="C26" s="147">
        <f>C18+C24</f>
        <v>2.58</v>
      </c>
      <c r="D26" s="147">
        <f>D18+D24</f>
        <v>2.6199999999999997</v>
      </c>
      <c r="E26" s="147">
        <f>E18+E24</f>
        <v>2.58</v>
      </c>
      <c r="F26" s="33"/>
      <c r="G26" s="47"/>
    </row>
    <row r="27" spans="2:7" x14ac:dyDescent="0.25">
      <c r="B27" s="70"/>
      <c r="C27" s="33"/>
      <c r="D27" s="33"/>
      <c r="E27" s="33"/>
      <c r="F27" s="33"/>
      <c r="G27" s="47"/>
    </row>
    <row r="28" spans="2:7" x14ac:dyDescent="0.25">
      <c r="B28" s="136" t="s">
        <v>87</v>
      </c>
      <c r="C28" s="142">
        <v>1.4</v>
      </c>
      <c r="D28" s="142">
        <v>0.75</v>
      </c>
      <c r="E28" s="142">
        <v>1.4</v>
      </c>
      <c r="F28" s="33"/>
      <c r="G28" s="47"/>
    </row>
    <row r="29" spans="2:7" x14ac:dyDescent="0.25">
      <c r="B29" s="136"/>
      <c r="C29" s="33"/>
      <c r="D29" s="33"/>
      <c r="E29" s="33"/>
      <c r="F29" s="33"/>
      <c r="G29" s="47"/>
    </row>
    <row r="30" spans="2:7" ht="15.75" thickBot="1" x14ac:dyDescent="0.3">
      <c r="B30" s="136" t="s">
        <v>88</v>
      </c>
      <c r="C30" s="148">
        <f>C28+C24</f>
        <v>1.8099999999999998</v>
      </c>
      <c r="D30" s="148">
        <f>D28+D24</f>
        <v>1.3599999999999999</v>
      </c>
      <c r="E30" s="148">
        <f>E28+E24</f>
        <v>1.8099999999999998</v>
      </c>
      <c r="F30" s="33"/>
      <c r="G30" s="47"/>
    </row>
    <row r="31" spans="2:7" x14ac:dyDescent="0.25">
      <c r="B31" s="70"/>
      <c r="C31" s="33"/>
      <c r="D31" s="33"/>
      <c r="E31" s="33"/>
      <c r="F31" s="33"/>
      <c r="G31" s="47"/>
    </row>
    <row r="32" spans="2:7" ht="15.75" thickBot="1" x14ac:dyDescent="0.3">
      <c r="B32" s="70" t="s">
        <v>17</v>
      </c>
      <c r="C32" s="146">
        <f>C26+C28</f>
        <v>3.98</v>
      </c>
      <c r="D32" s="146">
        <f>D26+D28</f>
        <v>3.3699999999999997</v>
      </c>
      <c r="E32" s="146">
        <f>E26+E28</f>
        <v>3.98</v>
      </c>
      <c r="F32" s="33"/>
      <c r="G32" s="47"/>
    </row>
    <row r="33" spans="2:7" x14ac:dyDescent="0.25">
      <c r="B33" s="72"/>
      <c r="C33" s="45"/>
      <c r="D33" s="45"/>
      <c r="E33" s="45"/>
      <c r="F33" s="45"/>
      <c r="G33" s="46"/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T63"/>
  <sheetViews>
    <sheetView zoomScale="75" zoomScaleNormal="75" workbookViewId="0"/>
  </sheetViews>
  <sheetFormatPr defaultColWidth="9.5" defaultRowHeight="15" x14ac:dyDescent="0.25"/>
  <cols>
    <col min="1" max="1" width="3.125" style="28" customWidth="1"/>
    <col min="2" max="2" width="10" style="27" customWidth="1"/>
    <col min="3" max="3" width="11.625" style="28" bestFit="1" customWidth="1"/>
    <col min="4" max="4" width="0.875" style="28" customWidth="1"/>
    <col min="5" max="8" width="10.625" style="28" customWidth="1"/>
    <col min="9" max="9" width="0.875" style="28" customWidth="1"/>
    <col min="10" max="10" width="11.375" style="28" customWidth="1"/>
    <col min="11" max="11" width="6.625" style="28" bestFit="1" customWidth="1"/>
    <col min="12" max="12" width="11.5" style="28" customWidth="1"/>
    <col min="13" max="13" width="2.625" style="28" customWidth="1"/>
    <col min="14" max="14" width="10.625" style="28" customWidth="1"/>
    <col min="15" max="15" width="0.875" style="28" customWidth="1"/>
    <col min="16" max="16" width="10.625" style="28" customWidth="1"/>
    <col min="17" max="17" width="0.875" style="28" customWidth="1"/>
    <col min="18" max="18" width="10.625" style="28" customWidth="1"/>
    <col min="19" max="19" width="0.875" style="28" customWidth="1"/>
    <col min="20" max="22" width="10.625" style="28" customWidth="1"/>
    <col min="23" max="23" width="11.125" style="28" bestFit="1" customWidth="1"/>
    <col min="24" max="24" width="11.125" style="28" customWidth="1"/>
    <col min="25" max="25" width="0.875" style="28" customWidth="1"/>
    <col min="26" max="26" width="10.625" style="28" customWidth="1"/>
    <col min="27" max="27" width="0.875" style="28" customWidth="1"/>
    <col min="28" max="28" width="10.625" style="28" customWidth="1"/>
    <col min="29" max="29" width="0.875" style="28" customWidth="1"/>
    <col min="30" max="30" width="10.625" style="28" customWidth="1"/>
    <col min="31" max="31" width="0.875" style="28" customWidth="1"/>
    <col min="32" max="33" width="10.625" style="28" customWidth="1"/>
    <col min="34" max="34" width="11.125" style="28" bestFit="1" customWidth="1"/>
    <col min="35" max="35" width="11.125" style="28" customWidth="1"/>
    <col min="36" max="36" width="0.875" style="28" customWidth="1"/>
    <col min="37" max="37" width="11.125" style="28" customWidth="1"/>
    <col min="38" max="38" width="0.875" style="28" customWidth="1"/>
    <col min="39" max="39" width="11.125" style="28" customWidth="1"/>
    <col min="40" max="40" width="0.875" style="28" customWidth="1"/>
    <col min="41" max="41" width="10.625" style="28" customWidth="1"/>
    <col min="42" max="42" width="0.875" style="28" customWidth="1"/>
    <col min="43" max="46" width="10.625" style="28" customWidth="1"/>
    <col min="47" max="47" width="0.875" style="28" customWidth="1"/>
    <col min="48" max="16384" width="9.5" style="28"/>
  </cols>
  <sheetData>
    <row r="2" spans="2:46" ht="15.75" x14ac:dyDescent="0.25">
      <c r="B2" s="258" t="s">
        <v>126</v>
      </c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60"/>
    </row>
    <row r="3" spans="2:46" ht="15.75" thickBot="1" x14ac:dyDescent="0.3">
      <c r="F3" s="26"/>
      <c r="G3" s="26"/>
      <c r="H3" s="26"/>
      <c r="I3" s="25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</row>
    <row r="4" spans="2:46" ht="16.5" customHeight="1" thickBot="1" x14ac:dyDescent="0.3">
      <c r="B4" s="261" t="s">
        <v>138</v>
      </c>
      <c r="C4" s="262"/>
      <c r="D4" s="262"/>
      <c r="E4" s="262"/>
      <c r="F4" s="262"/>
      <c r="G4" s="262"/>
      <c r="H4" s="263"/>
      <c r="I4" s="25"/>
      <c r="J4" s="264" t="s">
        <v>139</v>
      </c>
      <c r="K4" s="265"/>
      <c r="L4" s="266"/>
      <c r="N4" s="276" t="s">
        <v>101</v>
      </c>
      <c r="O4" s="277"/>
      <c r="P4" s="277"/>
      <c r="Q4" s="277"/>
      <c r="R4" s="277"/>
      <c r="S4" s="277"/>
      <c r="T4" s="277"/>
      <c r="U4" s="277"/>
      <c r="V4" s="277"/>
      <c r="W4" s="278"/>
      <c r="X4" s="6"/>
      <c r="Z4" s="276" t="s">
        <v>3</v>
      </c>
      <c r="AA4" s="277"/>
      <c r="AB4" s="277"/>
      <c r="AC4" s="277"/>
      <c r="AD4" s="277"/>
      <c r="AE4" s="277"/>
      <c r="AF4" s="277"/>
      <c r="AG4" s="277"/>
      <c r="AH4" s="278"/>
      <c r="AI4" s="6"/>
      <c r="AJ4" s="6"/>
      <c r="AK4" s="276" t="s">
        <v>4</v>
      </c>
      <c r="AL4" s="277"/>
      <c r="AM4" s="278"/>
      <c r="AN4" s="6"/>
      <c r="AO4" s="276" t="s">
        <v>1</v>
      </c>
      <c r="AP4" s="277"/>
      <c r="AQ4" s="277"/>
      <c r="AR4" s="277"/>
      <c r="AS4" s="277"/>
      <c r="AT4" s="278"/>
    </row>
    <row r="5" spans="2:46" s="29" customFormat="1" ht="64.349999999999994" customHeight="1" x14ac:dyDescent="0.25">
      <c r="B5" s="171" t="s">
        <v>20</v>
      </c>
      <c r="C5" s="172" t="s">
        <v>21</v>
      </c>
      <c r="D5" s="28"/>
      <c r="E5" s="173" t="s">
        <v>91</v>
      </c>
      <c r="F5" s="173" t="s">
        <v>93</v>
      </c>
      <c r="G5" s="173" t="s">
        <v>19</v>
      </c>
      <c r="H5" s="173" t="s">
        <v>92</v>
      </c>
      <c r="I5" s="25"/>
      <c r="J5" s="173" t="s">
        <v>177</v>
      </c>
      <c r="K5" s="25"/>
      <c r="L5" s="173" t="s">
        <v>110</v>
      </c>
      <c r="N5" s="101" t="s">
        <v>99</v>
      </c>
      <c r="O5" s="102"/>
      <c r="P5" s="103" t="s">
        <v>90</v>
      </c>
      <c r="Q5" s="102"/>
      <c r="R5" s="103" t="s">
        <v>100</v>
      </c>
      <c r="S5" s="102"/>
      <c r="T5" s="104" t="s">
        <v>95</v>
      </c>
      <c r="U5" s="105" t="s">
        <v>96</v>
      </c>
      <c r="V5" s="105" t="s">
        <v>98</v>
      </c>
      <c r="W5" s="106" t="s">
        <v>97</v>
      </c>
      <c r="X5" s="163" t="s">
        <v>116</v>
      </c>
      <c r="Z5" s="101" t="s">
        <v>102</v>
      </c>
      <c r="AA5" s="102"/>
      <c r="AB5" s="103" t="s">
        <v>103</v>
      </c>
      <c r="AC5" s="102"/>
      <c r="AD5" s="103" t="s">
        <v>104</v>
      </c>
      <c r="AE5" s="102"/>
      <c r="AF5" s="104" t="s">
        <v>95</v>
      </c>
      <c r="AG5" s="105" t="s">
        <v>96</v>
      </c>
      <c r="AH5" s="106" t="s">
        <v>97</v>
      </c>
      <c r="AI5" s="163" t="s">
        <v>116</v>
      </c>
      <c r="AJ5" s="95"/>
      <c r="AK5" s="101" t="s">
        <v>112</v>
      </c>
      <c r="AL5" s="121"/>
      <c r="AM5" s="122" t="s">
        <v>113</v>
      </c>
      <c r="AN5" s="95"/>
      <c r="AO5" s="101" t="s">
        <v>105</v>
      </c>
      <c r="AP5" s="129"/>
      <c r="AQ5" s="103" t="s">
        <v>106</v>
      </c>
      <c r="AR5" s="103" t="s">
        <v>107</v>
      </c>
      <c r="AS5" s="103" t="s">
        <v>109</v>
      </c>
      <c r="AT5" s="122" t="s">
        <v>108</v>
      </c>
    </row>
    <row r="6" spans="2:46" s="29" customFormat="1" ht="15" customHeight="1" x14ac:dyDescent="0.25">
      <c r="D6" s="28"/>
      <c r="E6" s="30"/>
      <c r="F6" s="49">
        <v>1.8</v>
      </c>
      <c r="G6" s="50">
        <v>0.2</v>
      </c>
      <c r="H6" s="24"/>
      <c r="I6" s="24"/>
      <c r="J6" s="24"/>
      <c r="K6" s="24"/>
      <c r="L6" s="24"/>
      <c r="N6" s="107"/>
      <c r="O6" s="33"/>
      <c r="P6" s="74">
        <f>'2. Budgets + Costs per net'!C26</f>
        <v>2.58</v>
      </c>
      <c r="Q6" s="33"/>
      <c r="R6" s="40"/>
      <c r="S6" s="33"/>
      <c r="T6" s="79">
        <f>'2. Budgets + Costs per net'!C28</f>
        <v>1.4</v>
      </c>
      <c r="U6" s="68">
        <f>'2. Budgets + Costs per net'!C28</f>
        <v>1.4</v>
      </c>
      <c r="V6" s="68">
        <f>'2. Budgets + Costs per net'!E28</f>
        <v>1.4</v>
      </c>
      <c r="W6" s="108">
        <f>'2. Budgets + Costs per net'!C30</f>
        <v>1.8099999999999998</v>
      </c>
      <c r="X6" s="166"/>
      <c r="Z6" s="107"/>
      <c r="AA6" s="33"/>
      <c r="AB6" s="74">
        <f>'2. Budgets + Costs per net'!D26</f>
        <v>2.6199999999999997</v>
      </c>
      <c r="AC6" s="33"/>
      <c r="AD6" s="40"/>
      <c r="AE6" s="33"/>
      <c r="AF6" s="158">
        <f>'2. Budgets + Costs per net'!D28</f>
        <v>0.75</v>
      </c>
      <c r="AG6" s="68">
        <f>'2. Budgets + Costs per net'!D28</f>
        <v>0.75</v>
      </c>
      <c r="AH6" s="108">
        <f>'2. Budgets + Costs per net'!D30</f>
        <v>1.3599999999999999</v>
      </c>
      <c r="AI6" s="166"/>
      <c r="AJ6" s="95"/>
      <c r="AK6" s="123"/>
      <c r="AL6" s="95"/>
      <c r="AM6" s="124">
        <f>'2. Budgets + Costs per net'!E26</f>
        <v>2.58</v>
      </c>
      <c r="AN6" s="95"/>
      <c r="AO6" s="107"/>
      <c r="AP6" s="73"/>
      <c r="AQ6" s="73"/>
      <c r="AR6" s="73"/>
      <c r="AS6" s="73"/>
      <c r="AT6" s="130"/>
    </row>
    <row r="7" spans="2:46" x14ac:dyDescent="0.25">
      <c r="B7" s="279" t="s">
        <v>27</v>
      </c>
      <c r="C7" s="34" t="s">
        <v>28</v>
      </c>
      <c r="E7" s="51">
        <v>286948</v>
      </c>
      <c r="F7" s="52">
        <f>E7/$F$6</f>
        <v>159415.55555555556</v>
      </c>
      <c r="G7" s="52">
        <f>F7*$G$6</f>
        <v>31883.111111111113</v>
      </c>
      <c r="H7" s="52">
        <f>F7+G7</f>
        <v>191298.66666666669</v>
      </c>
      <c r="I7" s="25"/>
      <c r="J7" s="65" t="s">
        <v>1</v>
      </c>
      <c r="K7" s="25"/>
      <c r="L7" s="64" t="s">
        <v>3</v>
      </c>
      <c r="N7" s="109" t="str">
        <f>IF(J7="FM",H7,"")</f>
        <v/>
      </c>
      <c r="O7" s="44"/>
      <c r="P7" s="96" t="str">
        <f>IF(J7="FM",$P$6*N7,"")</f>
        <v/>
      </c>
      <c r="Q7" s="44"/>
      <c r="R7" s="35" t="str">
        <f>IF(L7="FM",H7,"")</f>
        <v/>
      </c>
      <c r="S7" s="44"/>
      <c r="T7" s="97" t="str">
        <f>IF(L7="FM",IF(J7="FM",$T$6*H7,""),"")</f>
        <v/>
      </c>
      <c r="U7" s="98" t="str">
        <f>IF(L7="FM",IF(J7="PMI",$U$6*H7,""),"")</f>
        <v/>
      </c>
      <c r="V7" s="98" t="str">
        <f>IF(L7="FM",IF(J7="OMVS",$V$6*H7,""),"")</f>
        <v/>
      </c>
      <c r="W7" s="110" t="str">
        <f>IF(L7="FM",IF(J7="AMF",$W$6*H7,""),"")</f>
        <v/>
      </c>
      <c r="X7" s="164" t="str">
        <f t="shared" ref="X7:X11" si="0">IF(W7="","",W7*(0.2/1.2))</f>
        <v/>
      </c>
      <c r="Z7" s="109" t="str">
        <f>IF(J7="PMI",H7,"")</f>
        <v/>
      </c>
      <c r="AA7" s="44"/>
      <c r="AB7" s="96" t="str">
        <f>IF(J7="PMI",$AB$6*Z7,"")</f>
        <v/>
      </c>
      <c r="AC7" s="44"/>
      <c r="AD7" s="35">
        <f>IF(L7="PMI",H7,"")</f>
        <v>191298.66666666669</v>
      </c>
      <c r="AE7" s="44"/>
      <c r="AF7" s="97" t="str">
        <f>IF(L7="PMI",IF(J7="FM",$AF$6*H7,""),"")</f>
        <v/>
      </c>
      <c r="AG7" s="98" t="str">
        <f>IF(L7="PMI",IF(J7="PMI",$AG$6*H7,""),"")</f>
        <v/>
      </c>
      <c r="AH7" s="110">
        <f>IF(L7="PMI",IF(J7="AMF",$AH$6*H7,""),"")</f>
        <v>260166.18666666668</v>
      </c>
      <c r="AI7" s="164">
        <f t="shared" ref="AI7:AI11" si="1">IF(AH7="","",AH7*(0.2/1.2))</f>
        <v>43361.031111111115</v>
      </c>
      <c r="AJ7" s="95"/>
      <c r="AK7" s="111" t="str">
        <f>IF(J7="OMVS",H7,"")</f>
        <v/>
      </c>
      <c r="AL7" s="95"/>
      <c r="AM7" s="125" t="str">
        <f>IF(J7="OMVS",$AM$6*AK7,"")</f>
        <v/>
      </c>
      <c r="AN7" s="95"/>
      <c r="AO7" s="111">
        <f>IF(J7="AMF",F7,"")</f>
        <v>159415.55555555556</v>
      </c>
      <c r="AP7" s="41"/>
      <c r="AQ7" s="41">
        <f>IF(J7="AMF",G7,"")</f>
        <v>31883.111111111113</v>
      </c>
      <c r="AR7" s="41">
        <f>IF(AO7="","",AO7*0.9)</f>
        <v>143474</v>
      </c>
      <c r="AS7" s="41">
        <f>IF(AO7="","",AO7-AR7)</f>
        <v>15941.555555555562</v>
      </c>
      <c r="AT7" s="131">
        <f>IF(AO7="","",AQ7+AS7)</f>
        <v>47824.666666666672</v>
      </c>
    </row>
    <row r="8" spans="2:46" x14ac:dyDescent="0.25">
      <c r="B8" s="279"/>
      <c r="C8" s="40" t="s">
        <v>29</v>
      </c>
      <c r="E8" s="53">
        <v>561204</v>
      </c>
      <c r="F8" s="54">
        <f>E8/$F$6</f>
        <v>311780</v>
      </c>
      <c r="G8" s="54">
        <f>F8*$G$6</f>
        <v>62356</v>
      </c>
      <c r="H8" s="54">
        <f t="shared" ref="H8:H11" si="2">F8+G8</f>
        <v>374136</v>
      </c>
      <c r="I8" s="25"/>
      <c r="J8" s="61" t="s">
        <v>1</v>
      </c>
      <c r="K8" s="25"/>
      <c r="L8" s="62" t="s">
        <v>3</v>
      </c>
      <c r="N8" s="111" t="str">
        <f>IF(J8="FM",H8,"")</f>
        <v/>
      </c>
      <c r="O8" s="33"/>
      <c r="P8" s="75" t="str">
        <f>IF(J8="FM",$P$6*N8,"")</f>
        <v/>
      </c>
      <c r="Q8" s="33"/>
      <c r="R8" s="41" t="str">
        <f>IF(L8="FM",H8,"")</f>
        <v/>
      </c>
      <c r="S8" s="33"/>
      <c r="T8" s="80" t="str">
        <f>IF(L8="FM",IF(J8="FM",$T$6*H8,""),"")</f>
        <v/>
      </c>
      <c r="U8" s="69" t="str">
        <f>IF(L8="FM",IF(J8="PMI",$U$6*H8,""),"")</f>
        <v/>
      </c>
      <c r="V8" s="69" t="str">
        <f>IF(L8="FM",IF(J8="OMVS",$V$6*H8,""),"")</f>
        <v/>
      </c>
      <c r="W8" s="112" t="str">
        <f>IF(L8="FM",IF(J8="AMF",$W$6*H8,""),"")</f>
        <v/>
      </c>
      <c r="X8" s="164" t="str">
        <f t="shared" si="0"/>
        <v/>
      </c>
      <c r="Z8" s="111" t="str">
        <f>IF(J8="PMI",H8,"")</f>
        <v/>
      </c>
      <c r="AA8" s="33"/>
      <c r="AB8" s="75" t="str">
        <f>IF(J8="PMI",$AB$6*Z8,"")</f>
        <v/>
      </c>
      <c r="AC8" s="33"/>
      <c r="AD8" s="41">
        <f>IF(L8="PMI",H8,"")</f>
        <v>374136</v>
      </c>
      <c r="AE8" s="33"/>
      <c r="AF8" s="80" t="str">
        <f>IF(L8="PMI",IF(J8="FM",$AF$6*H8,""),"")</f>
        <v/>
      </c>
      <c r="AG8" s="69" t="str">
        <f>IF(L8="PMI",IF(J8="PMI",$AG$6*H8,""),"")</f>
        <v/>
      </c>
      <c r="AH8" s="112">
        <f>IF(L8="PMI",IF(J8="AMF",$AH$6*H8,""),"")</f>
        <v>508824.95999999996</v>
      </c>
      <c r="AI8" s="164">
        <f t="shared" si="1"/>
        <v>84804.160000000003</v>
      </c>
      <c r="AJ8" s="95"/>
      <c r="AK8" s="111" t="str">
        <f t="shared" ref="AK8:AK11" si="3">IF(J8="OMVS",H8,"")</f>
        <v/>
      </c>
      <c r="AL8" s="95"/>
      <c r="AM8" s="125" t="str">
        <f t="shared" ref="AM8:AM51" si="4">IF(J8="OMVS",$AM$6*AK8,"")</f>
        <v/>
      </c>
      <c r="AN8" s="95"/>
      <c r="AO8" s="111">
        <f>IF(J8="AMF",F8,"")</f>
        <v>311780</v>
      </c>
      <c r="AP8" s="41"/>
      <c r="AQ8" s="41">
        <f>IF(J8="AMF",G8,"")</f>
        <v>62356</v>
      </c>
      <c r="AR8" s="41">
        <f t="shared" ref="AR8:AR51" si="5">IF(AO8="","",AO8*0.9)</f>
        <v>280602</v>
      </c>
      <c r="AS8" s="41">
        <f>IF(AO8="","",AO8-AR8)</f>
        <v>31178</v>
      </c>
      <c r="AT8" s="131">
        <f t="shared" ref="AT8:AT51" si="6">IF(AO8="","",AQ8+AS8)</f>
        <v>93534</v>
      </c>
    </row>
    <row r="9" spans="2:46" x14ac:dyDescent="0.25">
      <c r="B9" s="279"/>
      <c r="C9" s="40" t="s">
        <v>30</v>
      </c>
      <c r="E9" s="53">
        <v>149909</v>
      </c>
      <c r="F9" s="54">
        <f>E9/$F$6</f>
        <v>83282.777777777781</v>
      </c>
      <c r="G9" s="54">
        <f>F9*$G$6</f>
        <v>16656.555555555558</v>
      </c>
      <c r="H9" s="54">
        <f t="shared" si="2"/>
        <v>99939.333333333343</v>
      </c>
      <c r="I9" s="25"/>
      <c r="J9" s="61" t="s">
        <v>1</v>
      </c>
      <c r="K9" s="25"/>
      <c r="L9" s="62" t="s">
        <v>3</v>
      </c>
      <c r="N9" s="111" t="str">
        <f>IF(J9="FM",H9,"")</f>
        <v/>
      </c>
      <c r="O9" s="33"/>
      <c r="P9" s="75" t="str">
        <f>IF(J9="FM",$P$6*N9,"")</f>
        <v/>
      </c>
      <c r="Q9" s="33"/>
      <c r="R9" s="41" t="str">
        <f>IF(L9="FM",H9,"")</f>
        <v/>
      </c>
      <c r="S9" s="33"/>
      <c r="T9" s="80" t="str">
        <f>IF(L9="FM",IF(J9="FM",$T$6*H9,""),"")</f>
        <v/>
      </c>
      <c r="U9" s="69" t="str">
        <f>IF(L9="FM",IF(J9="PMI",$U$6*H9,""),"")</f>
        <v/>
      </c>
      <c r="V9" s="69" t="str">
        <f>IF(L9="FM",IF(J9="OMVS",$V$6*H9,""),"")</f>
        <v/>
      </c>
      <c r="W9" s="112" t="str">
        <f>IF(L9="FM",IF(J9="AMF",$W$6*H9,""),"")</f>
        <v/>
      </c>
      <c r="X9" s="164" t="str">
        <f t="shared" si="0"/>
        <v/>
      </c>
      <c r="Z9" s="111" t="str">
        <f>IF(J9="PMI",H9,"")</f>
        <v/>
      </c>
      <c r="AA9" s="33"/>
      <c r="AB9" s="75" t="str">
        <f>IF(J9="PMI",$AB$6*Z9,"")</f>
        <v/>
      </c>
      <c r="AC9" s="33"/>
      <c r="AD9" s="41">
        <f>IF(L9="PMI",H9,"")</f>
        <v>99939.333333333343</v>
      </c>
      <c r="AE9" s="33"/>
      <c r="AF9" s="80" t="str">
        <f>IF(L9="PMI",IF(J9="FM",$AF$6*H9,""),"")</f>
        <v/>
      </c>
      <c r="AG9" s="69" t="str">
        <f>IF(L9="PMI",IF(J9="PMI",$AG$6*H9,""),"")</f>
        <v/>
      </c>
      <c r="AH9" s="112">
        <f>IF(L9="PMI",IF(J9="AMF",$AH$6*H9,""),"")</f>
        <v>135917.49333333335</v>
      </c>
      <c r="AI9" s="164">
        <f t="shared" si="1"/>
        <v>22652.915555555559</v>
      </c>
      <c r="AJ9" s="95"/>
      <c r="AK9" s="111" t="str">
        <f t="shared" si="3"/>
        <v/>
      </c>
      <c r="AL9" s="95"/>
      <c r="AM9" s="125" t="str">
        <f t="shared" si="4"/>
        <v/>
      </c>
      <c r="AN9" s="95"/>
      <c r="AO9" s="111">
        <f>IF(J9="AMF",F9,"")</f>
        <v>83282.777777777781</v>
      </c>
      <c r="AP9" s="41"/>
      <c r="AQ9" s="41">
        <f>IF(J9="AMF",G9,"")</f>
        <v>16656.555555555558</v>
      </c>
      <c r="AR9" s="41">
        <f t="shared" si="5"/>
        <v>74954.5</v>
      </c>
      <c r="AS9" s="41">
        <f>IF(AO9="","",AO9-AR9)</f>
        <v>8328.277777777781</v>
      </c>
      <c r="AT9" s="131">
        <f t="shared" si="6"/>
        <v>24984.833333333339</v>
      </c>
    </row>
    <row r="10" spans="2:46" x14ac:dyDescent="0.25">
      <c r="B10" s="279"/>
      <c r="C10" s="40" t="s">
        <v>31</v>
      </c>
      <c r="E10" s="53">
        <v>252245</v>
      </c>
      <c r="F10" s="54">
        <f>E10/$F$6</f>
        <v>140136.11111111109</v>
      </c>
      <c r="G10" s="54">
        <f>F10*$G$6</f>
        <v>28027.222222222219</v>
      </c>
      <c r="H10" s="54">
        <f t="shared" si="2"/>
        <v>168163.33333333331</v>
      </c>
      <c r="I10" s="25"/>
      <c r="J10" s="61" t="s">
        <v>1</v>
      </c>
      <c r="K10" s="25"/>
      <c r="L10" s="62" t="s">
        <v>3</v>
      </c>
      <c r="N10" s="111" t="str">
        <f>IF(J10="FM",H10,"")</f>
        <v/>
      </c>
      <c r="O10" s="33"/>
      <c r="P10" s="75" t="str">
        <f>IF(J10="FM",$P$6*N10,"")</f>
        <v/>
      </c>
      <c r="Q10" s="33"/>
      <c r="R10" s="41" t="str">
        <f>IF(L10="FM",H10,"")</f>
        <v/>
      </c>
      <c r="S10" s="33"/>
      <c r="T10" s="80" t="str">
        <f>IF(L10="FM",IF(J10="FM",$T$6*H10,""),"")</f>
        <v/>
      </c>
      <c r="U10" s="69" t="str">
        <f>IF(L10="FM",IF(J10="PMI",$U$6*H10,""),"")</f>
        <v/>
      </c>
      <c r="V10" s="69" t="str">
        <f>IF(L10="FM",IF(J10="OMVS",$V$6*H10,""),"")</f>
        <v/>
      </c>
      <c r="W10" s="112" t="str">
        <f>IF(L10="FM",IF(J10="AMF",$W$6*H10,""),"")</f>
        <v/>
      </c>
      <c r="X10" s="164" t="str">
        <f t="shared" si="0"/>
        <v/>
      </c>
      <c r="Z10" s="111" t="str">
        <f>IF(J10="PMI",H10,"")</f>
        <v/>
      </c>
      <c r="AA10" s="33"/>
      <c r="AB10" s="75" t="str">
        <f>IF(J10="PMI",$AB$6*Z10,"")</f>
        <v/>
      </c>
      <c r="AC10" s="33"/>
      <c r="AD10" s="41">
        <f>IF(L10="PMI",H10,"")</f>
        <v>168163.33333333331</v>
      </c>
      <c r="AE10" s="33"/>
      <c r="AF10" s="80" t="str">
        <f>IF(L10="PMI",IF(J10="FM",$AF$6*H10,""),"")</f>
        <v/>
      </c>
      <c r="AG10" s="69" t="str">
        <f>IF(L10="PMI",IF(J10="PMI",$AG$6*H10,""),"")</f>
        <v/>
      </c>
      <c r="AH10" s="112">
        <f>IF(L10="PMI",IF(J10="AMF",$AH$6*H10,""),"")</f>
        <v>228702.13333333327</v>
      </c>
      <c r="AI10" s="164">
        <f t="shared" si="1"/>
        <v>38117.022222222215</v>
      </c>
      <c r="AJ10" s="95"/>
      <c r="AK10" s="111" t="str">
        <f t="shared" si="3"/>
        <v/>
      </c>
      <c r="AL10" s="95"/>
      <c r="AM10" s="125" t="str">
        <f t="shared" si="4"/>
        <v/>
      </c>
      <c r="AN10" s="95"/>
      <c r="AO10" s="111">
        <f>IF(J10="AMF",F10,"")</f>
        <v>140136.11111111109</v>
      </c>
      <c r="AP10" s="41"/>
      <c r="AQ10" s="41">
        <f>IF(J10="AMF",G10,"")</f>
        <v>28027.222222222219</v>
      </c>
      <c r="AR10" s="41">
        <f t="shared" si="5"/>
        <v>126122.49999999999</v>
      </c>
      <c r="AS10" s="41">
        <f>IF(AO10="","",AO10-AR10)</f>
        <v>14013.611111111109</v>
      </c>
      <c r="AT10" s="131">
        <f t="shared" si="6"/>
        <v>42040.833333333328</v>
      </c>
    </row>
    <row r="11" spans="2:46" ht="15.75" thickBot="1" x14ac:dyDescent="0.3">
      <c r="B11" s="279"/>
      <c r="C11" s="40" t="s">
        <v>32</v>
      </c>
      <c r="E11" s="53">
        <v>165379</v>
      </c>
      <c r="F11" s="54">
        <f>E11/$F$6</f>
        <v>91877.222222222219</v>
      </c>
      <c r="G11" s="54">
        <f>F11*$G$6</f>
        <v>18375.444444444445</v>
      </c>
      <c r="H11" s="54">
        <f t="shared" si="2"/>
        <v>110252.66666666666</v>
      </c>
      <c r="I11" s="25"/>
      <c r="J11" s="61" t="s">
        <v>1</v>
      </c>
      <c r="K11" s="25"/>
      <c r="L11" s="62" t="s">
        <v>3</v>
      </c>
      <c r="N11" s="111" t="str">
        <f>IF(J11="FM",H11,"")</f>
        <v/>
      </c>
      <c r="O11" s="33"/>
      <c r="P11" s="75" t="str">
        <f>IF(J11="FM",$P$6*N11,"")</f>
        <v/>
      </c>
      <c r="Q11" s="33"/>
      <c r="R11" s="41" t="str">
        <f>IF(L11="FM",H11,"")</f>
        <v/>
      </c>
      <c r="S11" s="33"/>
      <c r="T11" s="80" t="str">
        <f>IF(L11="FM",IF(J11="FM",$T$6*H11,""),"")</f>
        <v/>
      </c>
      <c r="U11" s="69" t="str">
        <f>IF(L11="FM",IF(J11="PMI",$U$6*H11,""),"")</f>
        <v/>
      </c>
      <c r="V11" s="69" t="str">
        <f>IF(L11="FM",IF(J11="OMVS",$V$6*H11,""),"")</f>
        <v/>
      </c>
      <c r="W11" s="112" t="str">
        <f>IF(L11="FM",IF(J11="AMF",$W$6*H11,""),"")</f>
        <v/>
      </c>
      <c r="X11" s="164" t="str">
        <f t="shared" si="0"/>
        <v/>
      </c>
      <c r="Z11" s="111" t="str">
        <f>IF(J11="PMI",H11,"")</f>
        <v/>
      </c>
      <c r="AA11" s="33"/>
      <c r="AB11" s="75" t="str">
        <f>IF(J11="PMI",$AB$6*Z11,"")</f>
        <v/>
      </c>
      <c r="AC11" s="33"/>
      <c r="AD11" s="41">
        <f>IF(L11="PMI",H11,"")</f>
        <v>110252.66666666666</v>
      </c>
      <c r="AE11" s="33"/>
      <c r="AF11" s="80" t="str">
        <f>IF(L11="PMI",IF(J11="FM",$AF$6*H11,""),"")</f>
        <v/>
      </c>
      <c r="AG11" s="69" t="str">
        <f>IF(L11="PMI",IF(J11="PMI",$AG$6*H11,""),"")</f>
        <v/>
      </c>
      <c r="AH11" s="112">
        <f>IF(L11="PMI",IF(J11="AMF",$AH$6*H11,""),"")</f>
        <v>149943.62666666665</v>
      </c>
      <c r="AI11" s="164">
        <f t="shared" si="1"/>
        <v>24990.604444444445</v>
      </c>
      <c r="AJ11" s="95"/>
      <c r="AK11" s="111" t="str">
        <f t="shared" si="3"/>
        <v/>
      </c>
      <c r="AL11" s="95"/>
      <c r="AM11" s="125" t="str">
        <f t="shared" si="4"/>
        <v/>
      </c>
      <c r="AN11" s="95"/>
      <c r="AO11" s="111">
        <f>IF(J11="AMF",F11,"")</f>
        <v>91877.222222222219</v>
      </c>
      <c r="AP11" s="41"/>
      <c r="AQ11" s="41">
        <f>IF(J11="AMF",G11,"")</f>
        <v>18375.444444444445</v>
      </c>
      <c r="AR11" s="41">
        <f t="shared" si="5"/>
        <v>82689.5</v>
      </c>
      <c r="AS11" s="41">
        <f>IF(AO11="","",AO11-AR11)</f>
        <v>9187.722222222219</v>
      </c>
      <c r="AT11" s="131">
        <f t="shared" si="6"/>
        <v>27563.166666666664</v>
      </c>
    </row>
    <row r="12" spans="2:46" ht="15.75" thickBot="1" x14ac:dyDescent="0.3">
      <c r="B12" s="279"/>
      <c r="C12" s="36" t="s">
        <v>111</v>
      </c>
      <c r="E12" s="55">
        <f>SUM(E7:E11)</f>
        <v>1415685</v>
      </c>
      <c r="F12" s="56">
        <f>SUM(F7:F11)</f>
        <v>786491.66666666674</v>
      </c>
      <c r="G12" s="56">
        <f>SUM(G7:G11)</f>
        <v>157298.33333333331</v>
      </c>
      <c r="H12" s="56">
        <f>SUM(H7:H11)</f>
        <v>943790.00000000012</v>
      </c>
      <c r="I12" s="25"/>
      <c r="J12" s="38"/>
      <c r="K12" s="25"/>
      <c r="L12" s="38"/>
      <c r="N12" s="113">
        <f>SUM(N7:N11)</f>
        <v>0</v>
      </c>
      <c r="O12" s="33"/>
      <c r="P12" s="76">
        <f>SUM(P7:P11)</f>
        <v>0</v>
      </c>
      <c r="Q12" s="33"/>
      <c r="R12" s="37">
        <f>SUM(R7:R11)</f>
        <v>0</v>
      </c>
      <c r="S12" s="33"/>
      <c r="T12" s="81">
        <f t="shared" ref="T12:X12" si="7">SUM(T7:T11)</f>
        <v>0</v>
      </c>
      <c r="U12" s="19">
        <f t="shared" si="7"/>
        <v>0</v>
      </c>
      <c r="V12" s="19">
        <f t="shared" si="7"/>
        <v>0</v>
      </c>
      <c r="W12" s="114">
        <f t="shared" si="7"/>
        <v>0</v>
      </c>
      <c r="X12" s="165">
        <f t="shared" si="7"/>
        <v>0</v>
      </c>
      <c r="Z12" s="113">
        <f>SUM(Z7:Z11)</f>
        <v>0</v>
      </c>
      <c r="AA12" s="33"/>
      <c r="AB12" s="76">
        <f>SUM(AB7:AB11)</f>
        <v>0</v>
      </c>
      <c r="AC12" s="33"/>
      <c r="AD12" s="37">
        <f>SUM(AD7:AD11)</f>
        <v>943790.00000000012</v>
      </c>
      <c r="AE12" s="33"/>
      <c r="AF12" s="81">
        <f t="shared" ref="AF12:AI12" si="8">SUM(AF7:AF11)</f>
        <v>0</v>
      </c>
      <c r="AG12" s="19">
        <f t="shared" si="8"/>
        <v>0</v>
      </c>
      <c r="AH12" s="114">
        <f t="shared" si="8"/>
        <v>1283554.3999999999</v>
      </c>
      <c r="AI12" s="165">
        <f t="shared" si="8"/>
        <v>213925.73333333331</v>
      </c>
      <c r="AJ12" s="95"/>
      <c r="AK12" s="113">
        <f>SUM(AK7:AK11)</f>
        <v>0</v>
      </c>
      <c r="AL12" s="95"/>
      <c r="AM12" s="126">
        <f>SUM(AM7:AM11)</f>
        <v>0</v>
      </c>
      <c r="AN12" s="95"/>
      <c r="AO12" s="113">
        <f>SUM(AO7:AO11)</f>
        <v>786491.66666666674</v>
      </c>
      <c r="AP12" s="90"/>
      <c r="AQ12" s="37">
        <f>SUM(AQ7:AQ11)</f>
        <v>157298.33333333331</v>
      </c>
      <c r="AR12" s="37">
        <f>SUM(AR7:AR11)</f>
        <v>707842.5</v>
      </c>
      <c r="AS12" s="37">
        <f>SUM(AS7:AS11)</f>
        <v>78649.166666666672</v>
      </c>
      <c r="AT12" s="132">
        <f>SUM(AT7:AT11)</f>
        <v>235947.50000000003</v>
      </c>
    </row>
    <row r="13" spans="2:46" x14ac:dyDescent="0.25">
      <c r="B13" s="257" t="s">
        <v>34</v>
      </c>
      <c r="C13" s="40" t="s">
        <v>35</v>
      </c>
      <c r="E13" s="57">
        <v>270347</v>
      </c>
      <c r="F13" s="54"/>
      <c r="G13" s="54"/>
      <c r="H13" s="54"/>
      <c r="I13" s="25"/>
      <c r="J13" s="42"/>
      <c r="K13" s="25"/>
      <c r="L13" s="42"/>
      <c r="N13" s="111" t="str">
        <f>IF(J13="FM",H13,"")</f>
        <v/>
      </c>
      <c r="O13" s="33"/>
      <c r="P13" s="75" t="str">
        <f>IF(J13="FM",$P$6*N13,"")</f>
        <v/>
      </c>
      <c r="Q13" s="33"/>
      <c r="R13" s="41" t="str">
        <f>IF(L13="FM",H13,"")</f>
        <v/>
      </c>
      <c r="S13" s="33"/>
      <c r="T13" s="80" t="str">
        <f>IF(L13="FM",IF(J13="FM",$T$6*H13,""),"")</f>
        <v/>
      </c>
      <c r="U13" s="69" t="str">
        <f>IF(L13="FM",IF(J13="PMI",$U$6*H13,""),"")</f>
        <v/>
      </c>
      <c r="V13" s="69" t="str">
        <f>IF(L13="FM",IF(J13="OMVS",$V$6*H13,""),"")</f>
        <v/>
      </c>
      <c r="W13" s="112" t="str">
        <f>IF(L13="FM",IF(J13="AMF",$W$6*H13,""),"")</f>
        <v/>
      </c>
      <c r="X13" s="164" t="str">
        <f t="shared" ref="X13:X17" si="9">IF(W13="","",W13*(0.2/1.2))</f>
        <v/>
      </c>
      <c r="Z13" s="111" t="str">
        <f>IF(J13="PMI",H13,"")</f>
        <v/>
      </c>
      <c r="AA13" s="33"/>
      <c r="AB13" s="75" t="str">
        <f>IF(J13="PMI",$AB$6*Z13,"")</f>
        <v/>
      </c>
      <c r="AC13" s="33"/>
      <c r="AD13" s="41" t="str">
        <f>IF(L13="PMI",H13,"")</f>
        <v/>
      </c>
      <c r="AE13" s="33"/>
      <c r="AF13" s="80" t="str">
        <f>IF(L13="PMI",IF(J13="FM",$AF$6*H13,""),"")</f>
        <v/>
      </c>
      <c r="AG13" s="69" t="str">
        <f>IF(L13="PMI",IF(J13="PMI",$AG$6*H13,""),"")</f>
        <v/>
      </c>
      <c r="AH13" s="112" t="str">
        <f>IF(L13="PMI",IF(J13="AMF",$AH$6*H13,""),"")</f>
        <v/>
      </c>
      <c r="AI13" s="164" t="str">
        <f t="shared" ref="AI13:AI17" si="10">IF(AH13="","",AH13*(0.2/1.2))</f>
        <v/>
      </c>
      <c r="AJ13" s="95"/>
      <c r="AK13" s="111" t="str">
        <f t="shared" ref="AK13:AK17" si="11">IF(J13="OMVS",H13,"")</f>
        <v/>
      </c>
      <c r="AL13" s="95"/>
      <c r="AM13" s="125" t="str">
        <f t="shared" si="4"/>
        <v/>
      </c>
      <c r="AN13" s="95"/>
      <c r="AO13" s="111" t="str">
        <f>IF(J13="AMF",H13,"")</f>
        <v/>
      </c>
      <c r="AP13" s="41"/>
      <c r="AQ13" s="41" t="str">
        <f>IF(J13="AMF",G13,"")</f>
        <v/>
      </c>
      <c r="AR13" s="41" t="str">
        <f t="shared" si="5"/>
        <v/>
      </c>
      <c r="AS13" s="41" t="str">
        <f>IF(AO13="","",AO13-AR13)</f>
        <v/>
      </c>
      <c r="AT13" s="131" t="str">
        <f t="shared" si="6"/>
        <v/>
      </c>
    </row>
    <row r="14" spans="2:46" x14ac:dyDescent="0.25">
      <c r="B14" s="257"/>
      <c r="C14" s="40" t="s">
        <v>36</v>
      </c>
      <c r="E14" s="57">
        <v>136234</v>
      </c>
      <c r="F14" s="54"/>
      <c r="G14" s="54"/>
      <c r="H14" s="54"/>
      <c r="I14" s="25"/>
      <c r="J14" s="42"/>
      <c r="K14" s="25"/>
      <c r="L14" s="42"/>
      <c r="N14" s="111" t="str">
        <f>IF(J14="FM",H14,"")</f>
        <v/>
      </c>
      <c r="O14" s="33"/>
      <c r="P14" s="75" t="str">
        <f>IF(J14="FM",$P$6*N14,"")</f>
        <v/>
      </c>
      <c r="Q14" s="33"/>
      <c r="R14" s="41" t="str">
        <f>IF(L14="FM",H14,"")</f>
        <v/>
      </c>
      <c r="S14" s="33"/>
      <c r="T14" s="80" t="str">
        <f>IF(L14="FM",IF(J14="FM",$T$6*H14,""),"")</f>
        <v/>
      </c>
      <c r="U14" s="69" t="str">
        <f>IF(L14="FM",IF(J14="PMI",$U$6*H14,""),"")</f>
        <v/>
      </c>
      <c r="V14" s="69" t="str">
        <f>IF(L14="FM",IF(J14="OMVS",$V$6*H14,""),"")</f>
        <v/>
      </c>
      <c r="W14" s="112" t="str">
        <f>IF(L14="FM",IF(J14="AMF",$W$6*H14,""),"")</f>
        <v/>
      </c>
      <c r="X14" s="164" t="str">
        <f t="shared" si="9"/>
        <v/>
      </c>
      <c r="Z14" s="111" t="str">
        <f>IF(J14="PMI",H14,"")</f>
        <v/>
      </c>
      <c r="AA14" s="33"/>
      <c r="AB14" s="75" t="str">
        <f>IF(J14="PMI",$AB$6*Z14,"")</f>
        <v/>
      </c>
      <c r="AC14" s="33"/>
      <c r="AD14" s="41" t="str">
        <f>IF(L14="PMI",H14,"")</f>
        <v/>
      </c>
      <c r="AE14" s="33"/>
      <c r="AF14" s="80" t="str">
        <f>IF(L14="PMI",IF(J14="FM",$AF$6*H14,""),"")</f>
        <v/>
      </c>
      <c r="AG14" s="69" t="str">
        <f>IF(L14="PMI",IF(J14="PMI",$AG$6*H14,""),"")</f>
        <v/>
      </c>
      <c r="AH14" s="112" t="str">
        <f>IF(L14="PMI",IF(J14="AMF",$AH$6*H14,""),"")</f>
        <v/>
      </c>
      <c r="AI14" s="164" t="str">
        <f t="shared" si="10"/>
        <v/>
      </c>
      <c r="AJ14" s="95"/>
      <c r="AK14" s="111" t="str">
        <f t="shared" si="11"/>
        <v/>
      </c>
      <c r="AL14" s="95"/>
      <c r="AM14" s="125" t="str">
        <f t="shared" si="4"/>
        <v/>
      </c>
      <c r="AN14" s="95"/>
      <c r="AO14" s="111" t="str">
        <f>IF(J14="AMF",H14,"")</f>
        <v/>
      </c>
      <c r="AP14" s="41"/>
      <c r="AQ14" s="41" t="str">
        <f>IF(J14="AMF",G14,"")</f>
        <v/>
      </c>
      <c r="AR14" s="41" t="str">
        <f t="shared" si="5"/>
        <v/>
      </c>
      <c r="AS14" s="41" t="str">
        <f>IF(AO14="","",AO14-AR14)</f>
        <v/>
      </c>
      <c r="AT14" s="131" t="str">
        <f t="shared" si="6"/>
        <v/>
      </c>
    </row>
    <row r="15" spans="2:46" ht="15.75" thickBot="1" x14ac:dyDescent="0.3">
      <c r="B15" s="257"/>
      <c r="C15" s="40" t="s">
        <v>37</v>
      </c>
      <c r="E15" s="57">
        <v>288083</v>
      </c>
      <c r="F15" s="54"/>
      <c r="G15" s="54"/>
      <c r="H15" s="54"/>
      <c r="I15" s="25"/>
      <c r="J15" s="42"/>
      <c r="K15" s="25"/>
      <c r="L15" s="42"/>
      <c r="N15" s="111" t="str">
        <f>IF(J15="FM",H15,"")</f>
        <v/>
      </c>
      <c r="O15" s="33"/>
      <c r="P15" s="75" t="str">
        <f>IF(J15="FM",$P$6*N15,"")</f>
        <v/>
      </c>
      <c r="Q15" s="33"/>
      <c r="R15" s="41" t="str">
        <f>IF(L15="FM",H15,"")</f>
        <v/>
      </c>
      <c r="S15" s="33"/>
      <c r="T15" s="80" t="str">
        <f>IF(L15="FM",IF(J15="FM",$T$6*H15,""),"")</f>
        <v/>
      </c>
      <c r="U15" s="69" t="str">
        <f>IF(L15="FM",IF(J15="PMI",$U$6*H15,""),"")</f>
        <v/>
      </c>
      <c r="V15" s="69" t="str">
        <f>IF(L15="FM",IF(J15="OMVS",$V$6*H15,""),"")</f>
        <v/>
      </c>
      <c r="W15" s="112" t="str">
        <f>IF(L15="FM",IF(J15="AMF",$W$6*H15,""),"")</f>
        <v/>
      </c>
      <c r="X15" s="164" t="str">
        <f t="shared" si="9"/>
        <v/>
      </c>
      <c r="Z15" s="111" t="str">
        <f>IF(J15="PMI",H15,"")</f>
        <v/>
      </c>
      <c r="AA15" s="33"/>
      <c r="AB15" s="75" t="str">
        <f>IF(J15="PMI",$AB$6*Z15,"")</f>
        <v/>
      </c>
      <c r="AC15" s="33"/>
      <c r="AD15" s="41" t="str">
        <f>IF(L15="PMI",H15,"")</f>
        <v/>
      </c>
      <c r="AE15" s="33"/>
      <c r="AF15" s="80" t="str">
        <f>IF(L15="PMI",IF(J15="FM",$AF$6*H15,""),"")</f>
        <v/>
      </c>
      <c r="AG15" s="69" t="str">
        <f>IF(L15="PMI",IF(J15="PMI",$AG$6*H15,""),"")</f>
        <v/>
      </c>
      <c r="AH15" s="112" t="str">
        <f>IF(L15="PMI",IF(J15="AMF",$AH$6*H15,""),"")</f>
        <v/>
      </c>
      <c r="AI15" s="164" t="str">
        <f t="shared" si="10"/>
        <v/>
      </c>
      <c r="AJ15" s="95"/>
      <c r="AK15" s="111" t="str">
        <f t="shared" si="11"/>
        <v/>
      </c>
      <c r="AL15" s="95"/>
      <c r="AM15" s="125" t="str">
        <f t="shared" si="4"/>
        <v/>
      </c>
      <c r="AN15" s="95"/>
      <c r="AO15" s="111" t="str">
        <f>IF(J15="AMF",H15,"")</f>
        <v/>
      </c>
      <c r="AP15" s="41"/>
      <c r="AQ15" s="41" t="str">
        <f>IF(J15="AMF",G15,"")</f>
        <v/>
      </c>
      <c r="AR15" s="41" t="str">
        <f t="shared" si="5"/>
        <v/>
      </c>
      <c r="AS15" s="41" t="str">
        <f>IF(AO15="","",AO15-AR15)</f>
        <v/>
      </c>
      <c r="AT15" s="131" t="str">
        <f t="shared" si="6"/>
        <v/>
      </c>
    </row>
    <row r="16" spans="2:46" ht="15.75" thickBot="1" x14ac:dyDescent="0.3">
      <c r="B16" s="257"/>
      <c r="C16" s="40" t="s">
        <v>38</v>
      </c>
      <c r="E16" s="57">
        <v>714252</v>
      </c>
      <c r="F16" s="54"/>
      <c r="G16" s="160"/>
      <c r="H16" s="161">
        <v>500000</v>
      </c>
      <c r="I16" s="25"/>
      <c r="J16" s="62" t="s">
        <v>3</v>
      </c>
      <c r="K16" s="25"/>
      <c r="L16" s="62" t="s">
        <v>3</v>
      </c>
      <c r="N16" s="111" t="str">
        <f>IF(J16="FM",H16,"")</f>
        <v/>
      </c>
      <c r="O16" s="33"/>
      <c r="P16" s="75" t="str">
        <f>IF(J16="FM",$P$6*N16,"")</f>
        <v/>
      </c>
      <c r="Q16" s="33"/>
      <c r="R16" s="41" t="str">
        <f>IF(L16="FM",H16,"")</f>
        <v/>
      </c>
      <c r="S16" s="33"/>
      <c r="T16" s="80" t="str">
        <f>IF(L16="FM",IF(J16="FM",$T$6*H16,""),"")</f>
        <v/>
      </c>
      <c r="U16" s="69" t="str">
        <f>IF(L16="FM",IF(J16="PMI",$U$6*H16,""),"")</f>
        <v/>
      </c>
      <c r="V16" s="69" t="str">
        <f>IF(L16="FM",IF(J16="OMVS",$V$6*H16,""),"")</f>
        <v/>
      </c>
      <c r="W16" s="112" t="str">
        <f>IF(L16="FM",IF(J16="AMF",$W$6*H16,""),"")</f>
        <v/>
      </c>
      <c r="X16" s="164" t="str">
        <f t="shared" si="9"/>
        <v/>
      </c>
      <c r="Z16" s="111">
        <f>IF(J16="PMI",H16,"")</f>
        <v>500000</v>
      </c>
      <c r="AA16" s="33"/>
      <c r="AB16" s="75">
        <f>IF(J16="PMI",$AB$6*Z16,"")</f>
        <v>1309999.9999999998</v>
      </c>
      <c r="AC16" s="33"/>
      <c r="AD16" s="41">
        <f>IF(L16="PMI",H16,"")</f>
        <v>500000</v>
      </c>
      <c r="AE16" s="33"/>
      <c r="AF16" s="80" t="str">
        <f>IF(L16="PMI",IF(J16="FM",$AF$6*H16,""),"")</f>
        <v/>
      </c>
      <c r="AG16" s="69">
        <f>IF(L16="PMI",IF(J16="PMI",$AG$6*H16,""),"")</f>
        <v>375000</v>
      </c>
      <c r="AH16" s="112" t="str">
        <f>IF(L16="PMI",IF(J16="AMF",$AH$6*H16,""),"")</f>
        <v/>
      </c>
      <c r="AI16" s="164" t="str">
        <f t="shared" si="10"/>
        <v/>
      </c>
      <c r="AJ16" s="95"/>
      <c r="AK16" s="111" t="str">
        <f t="shared" si="11"/>
        <v/>
      </c>
      <c r="AL16" s="95"/>
      <c r="AM16" s="125" t="str">
        <f t="shared" si="4"/>
        <v/>
      </c>
      <c r="AN16" s="95"/>
      <c r="AO16" s="111" t="str">
        <f>IF(J16="AMF",H16,"")</f>
        <v/>
      </c>
      <c r="AP16" s="41"/>
      <c r="AQ16" s="41" t="str">
        <f>IF(J16="AMF",G16,"")</f>
        <v/>
      </c>
      <c r="AR16" s="41" t="str">
        <f t="shared" si="5"/>
        <v/>
      </c>
      <c r="AS16" s="41" t="str">
        <f>IF(AO16="","",AO16-AR16)</f>
        <v/>
      </c>
      <c r="AT16" s="131" t="str">
        <f t="shared" si="6"/>
        <v/>
      </c>
    </row>
    <row r="17" spans="2:46" ht="15.75" thickBot="1" x14ac:dyDescent="0.3">
      <c r="B17" s="257"/>
      <c r="C17" s="40" t="s">
        <v>39</v>
      </c>
      <c r="E17" s="57">
        <v>596375</v>
      </c>
      <c r="F17" s="54"/>
      <c r="G17" s="54"/>
      <c r="H17" s="54"/>
      <c r="I17" s="25"/>
      <c r="J17" s="42"/>
      <c r="K17" s="25"/>
      <c r="L17" s="42"/>
      <c r="N17" s="111" t="str">
        <f>IF(J17="FM",H17,"")</f>
        <v/>
      </c>
      <c r="O17" s="33"/>
      <c r="P17" s="75"/>
      <c r="Q17" s="33"/>
      <c r="R17" s="41" t="str">
        <f>IF(L17="FM",H17,"")</f>
        <v/>
      </c>
      <c r="S17" s="33"/>
      <c r="T17" s="80" t="str">
        <f>IF(L17="FM",IF(J17="FM",$T$6*H17,""),"")</f>
        <v/>
      </c>
      <c r="U17" s="69" t="str">
        <f>IF(L17="FM",IF(J17="PMI",$U$6*H17,""),"")</f>
        <v/>
      </c>
      <c r="V17" s="69" t="str">
        <f>IF(L17="FM",IF(J17="OMVS",$V$6*H17,""),"")</f>
        <v/>
      </c>
      <c r="W17" s="112" t="str">
        <f>IF(L17="FM",IF(J17="AMF",$W$6*H17,""),"")</f>
        <v/>
      </c>
      <c r="X17" s="164" t="str">
        <f t="shared" si="9"/>
        <v/>
      </c>
      <c r="Z17" s="111" t="str">
        <f>IF(J17="PMI",H17,"")</f>
        <v/>
      </c>
      <c r="AA17" s="33"/>
      <c r="AB17" s="75" t="str">
        <f>IF(J17="PMI",$AB$6*Z17,"")</f>
        <v/>
      </c>
      <c r="AC17" s="33"/>
      <c r="AD17" s="41" t="str">
        <f>IF(L17="PMI",H17,"")</f>
        <v/>
      </c>
      <c r="AE17" s="33"/>
      <c r="AF17" s="80" t="str">
        <f>IF(L17="PMI",IF(J17="FM",$AF$6*H17,""),"")</f>
        <v/>
      </c>
      <c r="AG17" s="69" t="str">
        <f>IF(L17="PMI",IF(J17="PMI",$AG$6*H17,""),"")</f>
        <v/>
      </c>
      <c r="AH17" s="112" t="str">
        <f>IF(L17="PMI",IF(J17="AMF",$AH$6*H17,""),"")</f>
        <v/>
      </c>
      <c r="AI17" s="164" t="str">
        <f t="shared" si="10"/>
        <v/>
      </c>
      <c r="AJ17" s="95"/>
      <c r="AK17" s="111" t="str">
        <f t="shared" si="11"/>
        <v/>
      </c>
      <c r="AL17" s="95"/>
      <c r="AM17" s="125" t="str">
        <f t="shared" si="4"/>
        <v/>
      </c>
      <c r="AN17" s="95"/>
      <c r="AO17" s="111" t="str">
        <f>IF(J17="AMF",H17,"")</f>
        <v/>
      </c>
      <c r="AP17" s="41"/>
      <c r="AQ17" s="41" t="str">
        <f>IF(J17="AMF",G17,"")</f>
        <v/>
      </c>
      <c r="AR17" s="41" t="str">
        <f t="shared" si="5"/>
        <v/>
      </c>
      <c r="AS17" s="41" t="str">
        <f>IF(AO17="","",AO17-AR17)</f>
        <v/>
      </c>
      <c r="AT17" s="131" t="str">
        <f t="shared" si="6"/>
        <v/>
      </c>
    </row>
    <row r="18" spans="2:46" ht="15.75" thickBot="1" x14ac:dyDescent="0.3">
      <c r="B18" s="257"/>
      <c r="C18" s="36" t="s">
        <v>111</v>
      </c>
      <c r="E18" s="55">
        <f>SUM(E13:E17)</f>
        <v>2005291</v>
      </c>
      <c r="F18" s="56">
        <f>SUM(F13:F17)</f>
        <v>0</v>
      </c>
      <c r="G18" s="56">
        <f>SUM(G13:G17)</f>
        <v>0</v>
      </c>
      <c r="H18" s="58">
        <f>SUM(H13:H17)</f>
        <v>500000</v>
      </c>
      <c r="I18" s="25"/>
      <c r="J18" s="38"/>
      <c r="K18" s="25"/>
      <c r="L18" s="38"/>
      <c r="N18" s="113">
        <f>SUM(N13:N17)</f>
        <v>0</v>
      </c>
      <c r="O18" s="33"/>
      <c r="P18" s="76">
        <f>SUM(P13:P17)</f>
        <v>0</v>
      </c>
      <c r="Q18" s="33"/>
      <c r="R18" s="37">
        <f>SUM(R13:R17)</f>
        <v>0</v>
      </c>
      <c r="S18" s="33"/>
      <c r="T18" s="81">
        <f t="shared" ref="T18:X18" si="12">SUM(T13:T17)</f>
        <v>0</v>
      </c>
      <c r="U18" s="19">
        <f t="shared" si="12"/>
        <v>0</v>
      </c>
      <c r="V18" s="19">
        <f t="shared" si="12"/>
        <v>0</v>
      </c>
      <c r="W18" s="114">
        <f t="shared" si="12"/>
        <v>0</v>
      </c>
      <c r="X18" s="165">
        <f t="shared" si="12"/>
        <v>0</v>
      </c>
      <c r="Z18" s="113">
        <f>SUM(Z13:Z17)</f>
        <v>500000</v>
      </c>
      <c r="AA18" s="33"/>
      <c r="AB18" s="76">
        <f>SUM(AB13:AB17)</f>
        <v>1309999.9999999998</v>
      </c>
      <c r="AC18" s="33"/>
      <c r="AD18" s="37">
        <f>SUM(AD13:AD17)</f>
        <v>500000</v>
      </c>
      <c r="AE18" s="33"/>
      <c r="AF18" s="81">
        <f t="shared" ref="AF18:AI18" si="13">SUM(AF13:AF17)</f>
        <v>0</v>
      </c>
      <c r="AG18" s="19">
        <f t="shared" si="13"/>
        <v>375000</v>
      </c>
      <c r="AH18" s="114">
        <f t="shared" si="13"/>
        <v>0</v>
      </c>
      <c r="AI18" s="165">
        <f t="shared" si="13"/>
        <v>0</v>
      </c>
      <c r="AJ18" s="95"/>
      <c r="AK18" s="113">
        <f>SUM(AK13:AK17)</f>
        <v>0</v>
      </c>
      <c r="AL18" s="95"/>
      <c r="AM18" s="126">
        <f>SUM(AM13:AM17)</f>
        <v>0</v>
      </c>
      <c r="AN18" s="95"/>
      <c r="AO18" s="113">
        <f>SUM(AO13:AO17)</f>
        <v>0</v>
      </c>
      <c r="AP18" s="90"/>
      <c r="AQ18" s="37">
        <f>SUM(AQ13:AQ17)</f>
        <v>0</v>
      </c>
      <c r="AR18" s="37">
        <f>SUM(AR13:AR17)</f>
        <v>0</v>
      </c>
      <c r="AS18" s="37">
        <f>SUM(AS13:AS17)</f>
        <v>0</v>
      </c>
      <c r="AT18" s="132">
        <f>SUM(AT13:AT17)</f>
        <v>0</v>
      </c>
    </row>
    <row r="19" spans="2:46" x14ac:dyDescent="0.25">
      <c r="B19" s="279" t="s">
        <v>42</v>
      </c>
      <c r="C19" s="40" t="s">
        <v>43</v>
      </c>
      <c r="E19" s="53">
        <v>204113</v>
      </c>
      <c r="F19" s="54">
        <f>E19/$F$6</f>
        <v>113396.11111111111</v>
      </c>
      <c r="G19" s="54">
        <f>F19*$G$6</f>
        <v>22679.222222222223</v>
      </c>
      <c r="H19" s="54">
        <f t="shared" ref="H19:H22" si="14">F19+G19</f>
        <v>136075.33333333334</v>
      </c>
      <c r="I19" s="25"/>
      <c r="J19" s="61" t="s">
        <v>1</v>
      </c>
      <c r="K19" s="25"/>
      <c r="L19" s="63" t="s">
        <v>40</v>
      </c>
      <c r="N19" s="111" t="str">
        <f>IF(J19="FM",H19,"")</f>
        <v/>
      </c>
      <c r="O19" s="33"/>
      <c r="P19" s="75" t="str">
        <f>IF(J19="FM",$P$6*N19,"")</f>
        <v/>
      </c>
      <c r="Q19" s="33"/>
      <c r="R19" s="41">
        <f>IF(L19="FM",H19,"")</f>
        <v>136075.33333333334</v>
      </c>
      <c r="S19" s="33"/>
      <c r="T19" s="80" t="str">
        <f>IF(L19="FM",IF(J19="FM",$T$6*H19,""),"")</f>
        <v/>
      </c>
      <c r="U19" s="69" t="str">
        <f>IF(L19="FM",IF(J19="PMI",$U$6*H19,""),"")</f>
        <v/>
      </c>
      <c r="V19" s="69" t="str">
        <f>IF(L19="FM",IF(J19="OMVS",$V$6*H19,""),"")</f>
        <v/>
      </c>
      <c r="W19" s="112">
        <f>IF(L19="FM",IF(J19="AMF",$W$6*H19,""),"")</f>
        <v>246296.35333333333</v>
      </c>
      <c r="X19" s="164">
        <f>IF(W19="","",W19*(0.2/1.2))</f>
        <v>41049.392222222225</v>
      </c>
      <c r="Z19" s="111" t="str">
        <f>IF(J19="PMI",H19,"")</f>
        <v/>
      </c>
      <c r="AA19" s="33"/>
      <c r="AB19" s="75" t="str">
        <f>IF(J19="PMI",$AB$6*Z19,"")</f>
        <v/>
      </c>
      <c r="AC19" s="33"/>
      <c r="AD19" s="41" t="str">
        <f>IF(L19="PMI",H19,"")</f>
        <v/>
      </c>
      <c r="AE19" s="33"/>
      <c r="AF19" s="80" t="str">
        <f>IF(L19="PMI",IF(J19="FM",$AF$6*H19,""),"")</f>
        <v/>
      </c>
      <c r="AG19" s="69" t="str">
        <f>IF(L19="PMI",IF(J19="PMI",$AG$6*H19,""),"")</f>
        <v/>
      </c>
      <c r="AH19" s="112" t="str">
        <f>IF(L19="PMI",IF(J19="AMF",$AH$6*H19,""),"")</f>
        <v/>
      </c>
      <c r="AI19" s="164" t="str">
        <f>IF(AH19="","",AH19*(0.2/1.2))</f>
        <v/>
      </c>
      <c r="AJ19" s="95"/>
      <c r="AK19" s="111" t="str">
        <f t="shared" ref="AK19:AK22" si="15">IF(J19="OMVS",H19,"")</f>
        <v/>
      </c>
      <c r="AL19" s="95"/>
      <c r="AM19" s="125" t="str">
        <f t="shared" si="4"/>
        <v/>
      </c>
      <c r="AN19" s="95"/>
      <c r="AO19" s="111">
        <f>IF(J19="AMF",F19,"")</f>
        <v>113396.11111111111</v>
      </c>
      <c r="AP19" s="41"/>
      <c r="AQ19" s="41">
        <f>IF(J19="AMF",G19,"")</f>
        <v>22679.222222222223</v>
      </c>
      <c r="AR19" s="41">
        <f t="shared" si="5"/>
        <v>102056.5</v>
      </c>
      <c r="AS19" s="41">
        <f>IF(AO19="","",AO19-AR19)</f>
        <v>11339.611111111109</v>
      </c>
      <c r="AT19" s="131">
        <f t="shared" si="6"/>
        <v>34018.833333333328</v>
      </c>
    </row>
    <row r="20" spans="2:46" x14ac:dyDescent="0.25">
      <c r="B20" s="279"/>
      <c r="C20" s="40" t="s">
        <v>44</v>
      </c>
      <c r="E20" s="53">
        <v>251798</v>
      </c>
      <c r="F20" s="54">
        <f>E20/$F$6</f>
        <v>139887.77777777778</v>
      </c>
      <c r="G20" s="54">
        <f>F20*$G$6</f>
        <v>27977.555555555558</v>
      </c>
      <c r="H20" s="54">
        <f t="shared" si="14"/>
        <v>167865.33333333334</v>
      </c>
      <c r="I20" s="25"/>
      <c r="J20" s="61" t="s">
        <v>1</v>
      </c>
      <c r="K20" s="25"/>
      <c r="L20" s="62" t="s">
        <v>3</v>
      </c>
      <c r="N20" s="111" t="str">
        <f>IF(J20="FM",H20,"")</f>
        <v/>
      </c>
      <c r="O20" s="33"/>
      <c r="P20" s="75" t="str">
        <f>IF(J20="FM",$P$6*N20,"")</f>
        <v/>
      </c>
      <c r="Q20" s="33"/>
      <c r="R20" s="41" t="str">
        <f>IF(L20="FM",H20,"")</f>
        <v/>
      </c>
      <c r="S20" s="33"/>
      <c r="T20" s="80" t="str">
        <f>IF(L20="FM",IF(J20="FM",$T$6*H20,""),"")</f>
        <v/>
      </c>
      <c r="U20" s="69" t="str">
        <f>IF(L20="FM",IF(J20="PMI",$U$6*H20,""),"")</f>
        <v/>
      </c>
      <c r="V20" s="69" t="str">
        <f>IF(L20="FM",IF(J20="OMVS",$V$6*H20,""),"")</f>
        <v/>
      </c>
      <c r="W20" s="112" t="str">
        <f>IF(L20="FM",IF(J20="AMF",$W$6*H20,""),"")</f>
        <v/>
      </c>
      <c r="X20" s="164" t="str">
        <f t="shared" ref="X20:X22" si="16">IF(W20="","",W20*(0.2/1.2))</f>
        <v/>
      </c>
      <c r="Z20" s="111" t="str">
        <f>IF(J20="PMI",H20,"")</f>
        <v/>
      </c>
      <c r="AA20" s="33"/>
      <c r="AB20" s="75" t="str">
        <f>IF(J20="PMI",$AB$6*Z20,"")</f>
        <v/>
      </c>
      <c r="AC20" s="33"/>
      <c r="AD20" s="41">
        <f>IF(L20="PMI",H20,"")</f>
        <v>167865.33333333334</v>
      </c>
      <c r="AE20" s="33"/>
      <c r="AF20" s="80" t="str">
        <f>IF(L20="PMI",IF(J20="FM",$AF$6*H20,""),"")</f>
        <v/>
      </c>
      <c r="AG20" s="69" t="str">
        <f>IF(L20="PMI",IF(J20="PMI",$AG$6*H20,""),"")</f>
        <v/>
      </c>
      <c r="AH20" s="112">
        <f>IF(L20="PMI",IF(J20="AMF",$AH$6*H20,""),"")</f>
        <v>228296.85333333333</v>
      </c>
      <c r="AI20" s="164">
        <f t="shared" ref="AI20:AI22" si="17">IF(AH20="","",AH20*(0.2/1.2))</f>
        <v>38049.47555555556</v>
      </c>
      <c r="AJ20" s="95"/>
      <c r="AK20" s="111" t="str">
        <f t="shared" si="15"/>
        <v/>
      </c>
      <c r="AL20" s="95"/>
      <c r="AM20" s="125" t="str">
        <f t="shared" si="4"/>
        <v/>
      </c>
      <c r="AN20" s="95"/>
      <c r="AO20" s="111">
        <f>IF(J20="AMF",F20,"")</f>
        <v>139887.77777777778</v>
      </c>
      <c r="AP20" s="41"/>
      <c r="AQ20" s="41">
        <f>IF(J20="AMF",G20,"")</f>
        <v>27977.555555555558</v>
      </c>
      <c r="AR20" s="41">
        <f t="shared" si="5"/>
        <v>125899</v>
      </c>
      <c r="AS20" s="41">
        <f>IF(AO20="","",AO20-AR20)</f>
        <v>13988.777777777781</v>
      </c>
      <c r="AT20" s="131">
        <f t="shared" si="6"/>
        <v>41966.333333333343</v>
      </c>
    </row>
    <row r="21" spans="2:46" x14ac:dyDescent="0.25">
      <c r="B21" s="279"/>
      <c r="C21" s="40" t="s">
        <v>45</v>
      </c>
      <c r="E21" s="53">
        <v>270066</v>
      </c>
      <c r="F21" s="54">
        <f>E21/$F$6</f>
        <v>150036.66666666666</v>
      </c>
      <c r="G21" s="54">
        <f>F21*$G$6</f>
        <v>30007.333333333332</v>
      </c>
      <c r="H21" s="54">
        <f t="shared" si="14"/>
        <v>180044</v>
      </c>
      <c r="I21" s="25"/>
      <c r="J21" s="61" t="s">
        <v>1</v>
      </c>
      <c r="K21" s="25"/>
      <c r="L21" s="63" t="s">
        <v>40</v>
      </c>
      <c r="N21" s="111" t="str">
        <f>IF(J21="FM",H21,"")</f>
        <v/>
      </c>
      <c r="O21" s="33"/>
      <c r="P21" s="75" t="str">
        <f>IF(J21="FM",$P$6*N21,"")</f>
        <v/>
      </c>
      <c r="Q21" s="33"/>
      <c r="R21" s="41">
        <f>IF(L21="FM",H21,"")</f>
        <v>180044</v>
      </c>
      <c r="S21" s="33"/>
      <c r="T21" s="80" t="str">
        <f>IF(L21="FM",IF(J21="FM",$T$6*H21,""),"")</f>
        <v/>
      </c>
      <c r="U21" s="69" t="str">
        <f>IF(L21="FM",IF(J21="PMI",$U$6*H21,""),"")</f>
        <v/>
      </c>
      <c r="V21" s="69" t="str">
        <f>IF(L21="FM",IF(J21="OMVS",$V$6*H21,""),"")</f>
        <v/>
      </c>
      <c r="W21" s="112">
        <f>IF(L21="FM",IF(J21="AMF",$W$6*H21,""),"")</f>
        <v>325879.63999999996</v>
      </c>
      <c r="X21" s="164">
        <f t="shared" si="16"/>
        <v>54313.273333333331</v>
      </c>
      <c r="Z21" s="111" t="str">
        <f>IF(J21="PMI",H21,"")</f>
        <v/>
      </c>
      <c r="AA21" s="33"/>
      <c r="AB21" s="75" t="str">
        <f>IF(J21="PMI",$AB$6*Z21,"")</f>
        <v/>
      </c>
      <c r="AC21" s="33"/>
      <c r="AD21" s="41" t="str">
        <f>IF(L21="PMI",H21,"")</f>
        <v/>
      </c>
      <c r="AE21" s="33"/>
      <c r="AF21" s="80" t="str">
        <f>IF(L21="PMI",IF(J21="FM",$AF$6*H21,""),"")</f>
        <v/>
      </c>
      <c r="AG21" s="69" t="str">
        <f>IF(L21="PMI",IF(J21="PMI",$AG$6*H21,""),"")</f>
        <v/>
      </c>
      <c r="AH21" s="112" t="str">
        <f>IF(L21="PMI",IF(J21="AMF",$AH$6*H21,""),"")</f>
        <v/>
      </c>
      <c r="AI21" s="164" t="str">
        <f t="shared" si="17"/>
        <v/>
      </c>
      <c r="AJ21" s="95"/>
      <c r="AK21" s="111" t="str">
        <f t="shared" si="15"/>
        <v/>
      </c>
      <c r="AL21" s="95"/>
      <c r="AM21" s="125" t="str">
        <f t="shared" si="4"/>
        <v/>
      </c>
      <c r="AN21" s="95"/>
      <c r="AO21" s="111">
        <f>IF(J21="AMF",F21,"")</f>
        <v>150036.66666666666</v>
      </c>
      <c r="AP21" s="41"/>
      <c r="AQ21" s="41">
        <f>IF(J21="AMF",G21,"")</f>
        <v>30007.333333333332</v>
      </c>
      <c r="AR21" s="41">
        <f t="shared" si="5"/>
        <v>135033</v>
      </c>
      <c r="AS21" s="41">
        <f>IF(AO21="","",AO21-AR21)</f>
        <v>15003.666666666657</v>
      </c>
      <c r="AT21" s="131">
        <f t="shared" si="6"/>
        <v>45010.999999999985</v>
      </c>
    </row>
    <row r="22" spans="2:46" ht="15.75" thickBot="1" x14ac:dyDescent="0.3">
      <c r="B22" s="279"/>
      <c r="C22" s="40" t="s">
        <v>46</v>
      </c>
      <c r="E22" s="53">
        <v>378953</v>
      </c>
      <c r="F22" s="54">
        <f>E22/$F$6</f>
        <v>210529.44444444444</v>
      </c>
      <c r="G22" s="54">
        <f>F22*$G$6</f>
        <v>42105.888888888891</v>
      </c>
      <c r="H22" s="54">
        <f t="shared" si="14"/>
        <v>252635.33333333331</v>
      </c>
      <c r="I22" s="25"/>
      <c r="J22" s="61" t="s">
        <v>1</v>
      </c>
      <c r="K22" s="25"/>
      <c r="L22" s="63" t="s">
        <v>40</v>
      </c>
      <c r="N22" s="111" t="str">
        <f>IF(J22="FM",H22,"")</f>
        <v/>
      </c>
      <c r="O22" s="33"/>
      <c r="P22" s="75" t="str">
        <f>IF(J22="FM",$P$6*N22,"")</f>
        <v/>
      </c>
      <c r="Q22" s="33"/>
      <c r="R22" s="41">
        <f>IF(L22="FM",H22,"")</f>
        <v>252635.33333333331</v>
      </c>
      <c r="S22" s="33"/>
      <c r="T22" s="80" t="str">
        <f>IF(L22="FM",IF(J22="FM",$T$6*H22,""),"")</f>
        <v/>
      </c>
      <c r="U22" s="69" t="str">
        <f>IF(L22="FM",IF(J22="PMI",$U$6*H22,""),"")</f>
        <v/>
      </c>
      <c r="V22" s="69" t="str">
        <f>IF(L22="FM",IF(J22="OMVS",$V$6*H22,""),"")</f>
        <v/>
      </c>
      <c r="W22" s="112">
        <f>IF(L22="FM",IF(J22="AMF",$W$6*H22,""),"")</f>
        <v>457269.95333333325</v>
      </c>
      <c r="X22" s="164">
        <f t="shared" si="16"/>
        <v>76211.65888888888</v>
      </c>
      <c r="Z22" s="111" t="str">
        <f>IF(J22="PMI",H22,"")</f>
        <v/>
      </c>
      <c r="AA22" s="33"/>
      <c r="AB22" s="75" t="str">
        <f>IF(J22="PMI",$AB$6*Z22,"")</f>
        <v/>
      </c>
      <c r="AC22" s="33"/>
      <c r="AD22" s="41" t="str">
        <f>IF(L22="PMI",H22,"")</f>
        <v/>
      </c>
      <c r="AE22" s="33"/>
      <c r="AF22" s="80" t="str">
        <f>IF(L22="PMI",IF(J22="FM",$AF$6*H22,""),"")</f>
        <v/>
      </c>
      <c r="AG22" s="69" t="str">
        <f>IF(L22="PMI",IF(J22="PMI",$AG$6*H22,""),"")</f>
        <v/>
      </c>
      <c r="AH22" s="112" t="str">
        <f>IF(L22="PMI",IF(J22="AMF",$AH$6*H22,""),"")</f>
        <v/>
      </c>
      <c r="AI22" s="164" t="str">
        <f t="shared" si="17"/>
        <v/>
      </c>
      <c r="AJ22" s="95"/>
      <c r="AK22" s="111" t="str">
        <f t="shared" si="15"/>
        <v/>
      </c>
      <c r="AL22" s="95"/>
      <c r="AM22" s="125" t="str">
        <f t="shared" si="4"/>
        <v/>
      </c>
      <c r="AN22" s="95"/>
      <c r="AO22" s="111">
        <f>IF(J22="AMF",F22,"")</f>
        <v>210529.44444444444</v>
      </c>
      <c r="AP22" s="41"/>
      <c r="AQ22" s="41">
        <f>IF(J22="AMF",G22,"")</f>
        <v>42105.888888888891</v>
      </c>
      <c r="AR22" s="41">
        <f t="shared" si="5"/>
        <v>189476.5</v>
      </c>
      <c r="AS22" s="41">
        <f>IF(AO22="","",AO22-AR22)</f>
        <v>21052.944444444438</v>
      </c>
      <c r="AT22" s="131">
        <f t="shared" si="6"/>
        <v>63158.833333333328</v>
      </c>
    </row>
    <row r="23" spans="2:46" ht="15.75" thickBot="1" x14ac:dyDescent="0.3">
      <c r="B23" s="279"/>
      <c r="C23" s="36" t="s">
        <v>111</v>
      </c>
      <c r="E23" s="55">
        <f>SUM(E19:E22)</f>
        <v>1104930</v>
      </c>
      <c r="F23" s="56">
        <f>SUM(F19:F22)</f>
        <v>613850</v>
      </c>
      <c r="G23" s="56">
        <f>SUM(G19:G22)</f>
        <v>122770</v>
      </c>
      <c r="H23" s="56">
        <f>SUM(H19:H22)</f>
        <v>736620</v>
      </c>
      <c r="I23" s="25"/>
      <c r="J23" s="38"/>
      <c r="K23" s="25"/>
      <c r="L23" s="38"/>
      <c r="N23" s="113">
        <f>SUM(N19:N22)</f>
        <v>0</v>
      </c>
      <c r="O23" s="33"/>
      <c r="P23" s="76">
        <f>SUM(P19:P22)</f>
        <v>0</v>
      </c>
      <c r="Q23" s="33"/>
      <c r="R23" s="37">
        <f>SUM(R19:R22)</f>
        <v>568754.66666666674</v>
      </c>
      <c r="S23" s="33"/>
      <c r="T23" s="81">
        <f t="shared" ref="T23:X23" si="18">SUM(T19:T22)</f>
        <v>0</v>
      </c>
      <c r="U23" s="19">
        <f t="shared" si="18"/>
        <v>0</v>
      </c>
      <c r="V23" s="19">
        <f t="shared" si="18"/>
        <v>0</v>
      </c>
      <c r="W23" s="114">
        <f t="shared" si="18"/>
        <v>1029445.9466666665</v>
      </c>
      <c r="X23" s="165">
        <f t="shared" si="18"/>
        <v>171574.32444444444</v>
      </c>
      <c r="Z23" s="113">
        <f>SUM(Z19:Z22)</f>
        <v>0</v>
      </c>
      <c r="AA23" s="33"/>
      <c r="AB23" s="76">
        <f>SUM(AB19:AB22)</f>
        <v>0</v>
      </c>
      <c r="AC23" s="33"/>
      <c r="AD23" s="37">
        <f>SUM(AD19:AD22)</f>
        <v>167865.33333333334</v>
      </c>
      <c r="AE23" s="33"/>
      <c r="AF23" s="81">
        <f t="shared" ref="AF23:AI23" si="19">SUM(AF19:AF22)</f>
        <v>0</v>
      </c>
      <c r="AG23" s="19">
        <f t="shared" si="19"/>
        <v>0</v>
      </c>
      <c r="AH23" s="114">
        <f t="shared" si="19"/>
        <v>228296.85333333333</v>
      </c>
      <c r="AI23" s="165">
        <f t="shared" si="19"/>
        <v>38049.47555555556</v>
      </c>
      <c r="AJ23" s="95"/>
      <c r="AK23" s="113">
        <f>SUM(AK19:AK22)</f>
        <v>0</v>
      </c>
      <c r="AL23" s="95"/>
      <c r="AM23" s="126">
        <f>SUM(AM19:AM22)</f>
        <v>0</v>
      </c>
      <c r="AN23" s="95"/>
      <c r="AO23" s="113">
        <f>SUM(AO19:AO22)</f>
        <v>613850</v>
      </c>
      <c r="AP23" s="90"/>
      <c r="AQ23" s="37">
        <f>SUM(AQ19:AQ22)</f>
        <v>122770</v>
      </c>
      <c r="AR23" s="37">
        <f>SUM(AR19:AR22)</f>
        <v>552465</v>
      </c>
      <c r="AS23" s="37">
        <f>SUM(AS19:AS22)</f>
        <v>61384.999999999985</v>
      </c>
      <c r="AT23" s="132">
        <f>SUM(AT19:AT22)</f>
        <v>184155</v>
      </c>
    </row>
    <row r="24" spans="2:46" x14ac:dyDescent="0.25">
      <c r="B24" s="279" t="s">
        <v>48</v>
      </c>
      <c r="C24" s="40" t="s">
        <v>49</v>
      </c>
      <c r="E24" s="53">
        <v>544040</v>
      </c>
      <c r="F24" s="54">
        <f>E24/$F$6</f>
        <v>302244.44444444444</v>
      </c>
      <c r="G24" s="54">
        <f>F24*$G$6</f>
        <v>60448.888888888891</v>
      </c>
      <c r="H24" s="54">
        <f t="shared" ref="H24:H28" si="20">F24+G24</f>
        <v>362693.33333333331</v>
      </c>
      <c r="I24" s="25"/>
      <c r="J24" s="61" t="s">
        <v>1</v>
      </c>
      <c r="K24" s="25"/>
      <c r="L24" s="63" t="s">
        <v>40</v>
      </c>
      <c r="N24" s="111" t="str">
        <f>IF(J24="FM",H24,"")</f>
        <v/>
      </c>
      <c r="O24" s="33"/>
      <c r="P24" s="75" t="str">
        <f>IF(J24="FM",$P$6*N24,"")</f>
        <v/>
      </c>
      <c r="Q24" s="33"/>
      <c r="R24" s="41">
        <f>IF(L24="FM",H24,"")</f>
        <v>362693.33333333331</v>
      </c>
      <c r="S24" s="33"/>
      <c r="T24" s="80" t="str">
        <f>IF(L24="FM",IF(J24="FM",$T$6*H24,""),"")</f>
        <v/>
      </c>
      <c r="U24" s="69" t="str">
        <f>IF(L24="FM",IF(J24="PMI",$U$6*H24,""),"")</f>
        <v/>
      </c>
      <c r="V24" s="69" t="str">
        <f>IF(L24="FM",IF(J24="OMVS",$V$6*H24,""),"")</f>
        <v/>
      </c>
      <c r="W24" s="112">
        <f>IF(L24="FM",IF(J24="AMF",$W$6*H24,""),"")</f>
        <v>656474.93333333323</v>
      </c>
      <c r="X24" s="164">
        <f t="shared" ref="X24:X28" si="21">IF(W24="","",W24*(0.2/1.2))</f>
        <v>109412.48888888888</v>
      </c>
      <c r="Z24" s="111" t="str">
        <f>IF(J24="PMI",H24,"")</f>
        <v/>
      </c>
      <c r="AA24" s="33"/>
      <c r="AB24" s="75" t="str">
        <f>IF(J24="PMI",$AB$6*Z24,"")</f>
        <v/>
      </c>
      <c r="AC24" s="33"/>
      <c r="AD24" s="41" t="str">
        <f>IF(L24="PMI",H24,"")</f>
        <v/>
      </c>
      <c r="AE24" s="33"/>
      <c r="AF24" s="80" t="str">
        <f>IF(L24="PMI",IF(J24="FM",$AF$6*H24,""),"")</f>
        <v/>
      </c>
      <c r="AG24" s="69" t="str">
        <f>IF(L24="PMI",IF(J24="PMI",$AG$6*H24,""),"")</f>
        <v/>
      </c>
      <c r="AH24" s="112" t="str">
        <f>IF(L24="PMI",IF(J24="AMF",$AH$6*H24,""),"")</f>
        <v/>
      </c>
      <c r="AI24" s="164" t="str">
        <f t="shared" ref="AI24:AI28" si="22">IF(AH24="","",AH24*(0.2/1.2))</f>
        <v/>
      </c>
      <c r="AJ24" s="95"/>
      <c r="AK24" s="111" t="str">
        <f t="shared" ref="AK24:AK28" si="23">IF(J24="OMVS",H24,"")</f>
        <v/>
      </c>
      <c r="AL24" s="95"/>
      <c r="AM24" s="125" t="str">
        <f t="shared" si="4"/>
        <v/>
      </c>
      <c r="AN24" s="95"/>
      <c r="AO24" s="111">
        <f>IF(J24="AMF",F24,"")</f>
        <v>302244.44444444444</v>
      </c>
      <c r="AP24" s="41"/>
      <c r="AQ24" s="41">
        <f>IF(J24="AMF",G24,"")</f>
        <v>60448.888888888891</v>
      </c>
      <c r="AR24" s="41">
        <f t="shared" si="5"/>
        <v>272020</v>
      </c>
      <c r="AS24" s="41">
        <f>IF(AO24="","",AO24-AR24)</f>
        <v>30224.444444444438</v>
      </c>
      <c r="AT24" s="131">
        <f t="shared" si="6"/>
        <v>90673.333333333328</v>
      </c>
    </row>
    <row r="25" spans="2:46" x14ac:dyDescent="0.25">
      <c r="B25" s="279"/>
      <c r="C25" s="40" t="s">
        <v>50</v>
      </c>
      <c r="E25" s="53">
        <v>273183</v>
      </c>
      <c r="F25" s="54">
        <f>E25/$F$6</f>
        <v>151768.33333333334</v>
      </c>
      <c r="G25" s="54">
        <f>F25*$G$6</f>
        <v>30353.666666666672</v>
      </c>
      <c r="H25" s="54">
        <f t="shared" si="20"/>
        <v>182122</v>
      </c>
      <c r="I25" s="25"/>
      <c r="J25" s="61" t="s">
        <v>1</v>
      </c>
      <c r="K25" s="25"/>
      <c r="L25" s="63" t="s">
        <v>40</v>
      </c>
      <c r="N25" s="111" t="str">
        <f>IF(J25="FM",H25,"")</f>
        <v/>
      </c>
      <c r="O25" s="33"/>
      <c r="P25" s="75" t="str">
        <f>IF(J25="FM",$P$6*N25,"")</f>
        <v/>
      </c>
      <c r="Q25" s="33"/>
      <c r="R25" s="41">
        <f>IF(L25="FM",H25,"")</f>
        <v>182122</v>
      </c>
      <c r="S25" s="33"/>
      <c r="T25" s="80" t="str">
        <f>IF(L25="FM",IF(J25="FM",$T$6*H25,""),"")</f>
        <v/>
      </c>
      <c r="U25" s="69" t="str">
        <f>IF(L25="FM",IF(J25="PMI",$U$6*H25,""),"")</f>
        <v/>
      </c>
      <c r="V25" s="69" t="str">
        <f>IF(L25="FM",IF(J25="OMVS",$V$6*H25,""),"")</f>
        <v/>
      </c>
      <c r="W25" s="112">
        <f>IF(L25="FM",IF(J25="AMF",$W$6*H25,""),"")</f>
        <v>329640.81999999995</v>
      </c>
      <c r="X25" s="164">
        <f t="shared" si="21"/>
        <v>54940.136666666665</v>
      </c>
      <c r="Z25" s="111" t="str">
        <f>IF(J25="PMI",H25,"")</f>
        <v/>
      </c>
      <c r="AA25" s="33"/>
      <c r="AB25" s="75" t="str">
        <f>IF(J25="PMI",$AB$6*Z25,"")</f>
        <v/>
      </c>
      <c r="AC25" s="33"/>
      <c r="AD25" s="41" t="str">
        <f>IF(L25="PMI",H25,"")</f>
        <v/>
      </c>
      <c r="AE25" s="33"/>
      <c r="AF25" s="80" t="str">
        <f>IF(L25="PMI",IF(J25="FM",$AF$6*H25,""),"")</f>
        <v/>
      </c>
      <c r="AG25" s="69" t="str">
        <f>IF(L25="PMI",IF(J25="PMI",$AG$6*H25,""),"")</f>
        <v/>
      </c>
      <c r="AH25" s="112" t="str">
        <f>IF(L25="PMI",IF(J25="AMF",$AH$6*H25,""),"")</f>
        <v/>
      </c>
      <c r="AI25" s="164" t="str">
        <f t="shared" si="22"/>
        <v/>
      </c>
      <c r="AJ25" s="95"/>
      <c r="AK25" s="111" t="str">
        <f t="shared" si="23"/>
        <v/>
      </c>
      <c r="AL25" s="95"/>
      <c r="AM25" s="125" t="str">
        <f t="shared" si="4"/>
        <v/>
      </c>
      <c r="AN25" s="95"/>
      <c r="AO25" s="111">
        <f>IF(J25="AMF",F25,"")</f>
        <v>151768.33333333334</v>
      </c>
      <c r="AP25" s="41"/>
      <c r="AQ25" s="41">
        <f>IF(J25="AMF",G25,"")</f>
        <v>30353.666666666672</v>
      </c>
      <c r="AR25" s="41">
        <f t="shared" si="5"/>
        <v>136591.5</v>
      </c>
      <c r="AS25" s="41">
        <f>IF(AO25="","",AO25-AR25)</f>
        <v>15176.833333333343</v>
      </c>
      <c r="AT25" s="131">
        <f t="shared" si="6"/>
        <v>45530.500000000015</v>
      </c>
    </row>
    <row r="26" spans="2:46" x14ac:dyDescent="0.25">
      <c r="B26" s="279"/>
      <c r="C26" s="40" t="s">
        <v>51</v>
      </c>
      <c r="E26" s="53">
        <v>275036</v>
      </c>
      <c r="F26" s="54">
        <f>E26/$F$6</f>
        <v>152797.77777777778</v>
      </c>
      <c r="G26" s="54">
        <f>F26*$G$6</f>
        <v>30559.555555555558</v>
      </c>
      <c r="H26" s="54">
        <f t="shared" si="20"/>
        <v>183357.33333333334</v>
      </c>
      <c r="I26" s="25"/>
      <c r="J26" s="61" t="s">
        <v>1</v>
      </c>
      <c r="K26" s="25"/>
      <c r="L26" s="63" t="s">
        <v>40</v>
      </c>
      <c r="N26" s="111" t="str">
        <f>IF(J26="FM",H26,"")</f>
        <v/>
      </c>
      <c r="O26" s="33"/>
      <c r="P26" s="75" t="str">
        <f>IF(J26="FM",$P$6*N26,"")</f>
        <v/>
      </c>
      <c r="Q26" s="33"/>
      <c r="R26" s="41">
        <f>IF(L26="FM",H26,"")</f>
        <v>183357.33333333334</v>
      </c>
      <c r="S26" s="33"/>
      <c r="T26" s="80" t="str">
        <f>IF(L26="FM",IF(J26="FM",$T$6*H26,""),"")</f>
        <v/>
      </c>
      <c r="U26" s="69" t="str">
        <f>IF(L26="FM",IF(J26="PMI",$U$6*H26,""),"")</f>
        <v/>
      </c>
      <c r="V26" s="69" t="str">
        <f>IF(L26="FM",IF(J26="OMVS",$V$6*H26,""),"")</f>
        <v/>
      </c>
      <c r="W26" s="112">
        <f>IF(L26="FM",IF(J26="AMF",$W$6*H26,""),"")</f>
        <v>331876.77333333332</v>
      </c>
      <c r="X26" s="164">
        <f t="shared" si="21"/>
        <v>55312.79555555556</v>
      </c>
      <c r="Z26" s="111" t="str">
        <f>IF(J26="PMI",H26,"")</f>
        <v/>
      </c>
      <c r="AA26" s="33"/>
      <c r="AB26" s="75" t="str">
        <f>IF(J26="PMI",$AB$6*Z26,"")</f>
        <v/>
      </c>
      <c r="AC26" s="33"/>
      <c r="AD26" s="41" t="str">
        <f>IF(L26="PMI",H26,"")</f>
        <v/>
      </c>
      <c r="AE26" s="33"/>
      <c r="AF26" s="80" t="str">
        <f>IF(L26="PMI",IF(J26="FM",$AF$6*H26,""),"")</f>
        <v/>
      </c>
      <c r="AG26" s="69" t="str">
        <f>IF(L26="PMI",IF(J26="PMI",$AG$6*H26,""),"")</f>
        <v/>
      </c>
      <c r="AH26" s="112" t="str">
        <f>IF(L26="PMI",IF(J26="AMF",$AH$6*H26,""),"")</f>
        <v/>
      </c>
      <c r="AI26" s="164" t="str">
        <f t="shared" si="22"/>
        <v/>
      </c>
      <c r="AJ26" s="95"/>
      <c r="AK26" s="111" t="str">
        <f t="shared" si="23"/>
        <v/>
      </c>
      <c r="AL26" s="95"/>
      <c r="AM26" s="125" t="str">
        <f t="shared" si="4"/>
        <v/>
      </c>
      <c r="AN26" s="95"/>
      <c r="AO26" s="111">
        <f>IF(J26="AMF",F26,"")</f>
        <v>152797.77777777778</v>
      </c>
      <c r="AP26" s="41"/>
      <c r="AQ26" s="41">
        <f>IF(J26="AMF",G26,"")</f>
        <v>30559.555555555558</v>
      </c>
      <c r="AR26" s="41">
        <f t="shared" si="5"/>
        <v>137518</v>
      </c>
      <c r="AS26" s="41">
        <f>IF(AO26="","",AO26-AR26)</f>
        <v>15279.777777777781</v>
      </c>
      <c r="AT26" s="131">
        <f t="shared" si="6"/>
        <v>45839.333333333343</v>
      </c>
    </row>
    <row r="27" spans="2:46" x14ac:dyDescent="0.25">
      <c r="B27" s="279"/>
      <c r="C27" s="40" t="s">
        <v>52</v>
      </c>
      <c r="E27" s="53">
        <v>322941</v>
      </c>
      <c r="F27" s="54">
        <f>E27/$F$6</f>
        <v>179411.66666666666</v>
      </c>
      <c r="G27" s="54">
        <f>F27*$G$6</f>
        <v>35882.333333333336</v>
      </c>
      <c r="H27" s="54">
        <f t="shared" si="20"/>
        <v>215294</v>
      </c>
      <c r="I27" s="25"/>
      <c r="J27" s="61" t="s">
        <v>1</v>
      </c>
      <c r="K27" s="25"/>
      <c r="L27" s="63" t="s">
        <v>40</v>
      </c>
      <c r="N27" s="111" t="str">
        <f>IF(J27="FM",H27,"")</f>
        <v/>
      </c>
      <c r="O27" s="33"/>
      <c r="P27" s="75" t="str">
        <f>IF(J27="FM",$P$6*N27,"")</f>
        <v/>
      </c>
      <c r="Q27" s="33"/>
      <c r="R27" s="41">
        <f>IF(L27="FM",H27,"")</f>
        <v>215294</v>
      </c>
      <c r="S27" s="33"/>
      <c r="T27" s="80" t="str">
        <f>IF(L27="FM",IF(J27="FM",$T$6*H27,""),"")</f>
        <v/>
      </c>
      <c r="U27" s="69" t="str">
        <f>IF(L27="FM",IF(J27="PMI",$U$6*H27,""),"")</f>
        <v/>
      </c>
      <c r="V27" s="69" t="str">
        <f>IF(L27="FM",IF(J27="OMVS",$V$6*H27,""),"")</f>
        <v/>
      </c>
      <c r="W27" s="112">
        <f>IF(L27="FM",IF(J27="AMF",$W$6*H27,""),"")</f>
        <v>389682.13999999996</v>
      </c>
      <c r="X27" s="164">
        <f t="shared" si="21"/>
        <v>64947.023333333331</v>
      </c>
      <c r="Z27" s="111" t="str">
        <f>IF(J27="PMI",H27,"")</f>
        <v/>
      </c>
      <c r="AA27" s="33"/>
      <c r="AB27" s="75" t="str">
        <f>IF(J27="PMI",$AB$6*Z27,"")</f>
        <v/>
      </c>
      <c r="AC27" s="33"/>
      <c r="AD27" s="41" t="str">
        <f>IF(L27="PMI",H27,"")</f>
        <v/>
      </c>
      <c r="AE27" s="33"/>
      <c r="AF27" s="80" t="str">
        <f>IF(L27="PMI",IF(J27="FM",$AF$6*H27,""),"")</f>
        <v/>
      </c>
      <c r="AG27" s="69" t="str">
        <f>IF(L27="PMI",IF(J27="PMI",$AG$6*H27,""),"")</f>
        <v/>
      </c>
      <c r="AH27" s="112" t="str">
        <f>IF(L27="PMI",IF(J27="AMF",$AH$6*H27,""),"")</f>
        <v/>
      </c>
      <c r="AI27" s="164" t="str">
        <f t="shared" si="22"/>
        <v/>
      </c>
      <c r="AJ27" s="95"/>
      <c r="AK27" s="111" t="str">
        <f t="shared" si="23"/>
        <v/>
      </c>
      <c r="AL27" s="95"/>
      <c r="AM27" s="125" t="str">
        <f t="shared" si="4"/>
        <v/>
      </c>
      <c r="AN27" s="95"/>
      <c r="AO27" s="111">
        <f>IF(J27="AMF",F27,"")</f>
        <v>179411.66666666666</v>
      </c>
      <c r="AP27" s="41"/>
      <c r="AQ27" s="41">
        <f>IF(J27="AMF",G27,"")</f>
        <v>35882.333333333336</v>
      </c>
      <c r="AR27" s="41">
        <f t="shared" si="5"/>
        <v>161470.5</v>
      </c>
      <c r="AS27" s="41">
        <f>IF(AO27="","",AO27-AR27)</f>
        <v>17941.166666666657</v>
      </c>
      <c r="AT27" s="131">
        <f t="shared" si="6"/>
        <v>53823.499999999993</v>
      </c>
    </row>
    <row r="28" spans="2:46" ht="15.75" thickBot="1" x14ac:dyDescent="0.3">
      <c r="B28" s="279"/>
      <c r="C28" s="40" t="s">
        <v>53</v>
      </c>
      <c r="E28" s="53">
        <v>519151</v>
      </c>
      <c r="F28" s="54">
        <f>E28/$F$6</f>
        <v>288417.22222222219</v>
      </c>
      <c r="G28" s="54">
        <f>F28*$G$6</f>
        <v>57683.444444444438</v>
      </c>
      <c r="H28" s="54">
        <f t="shared" si="20"/>
        <v>346100.66666666663</v>
      </c>
      <c r="I28" s="25"/>
      <c r="J28" s="61" t="s">
        <v>1</v>
      </c>
      <c r="K28" s="25"/>
      <c r="L28" s="63" t="s">
        <v>40</v>
      </c>
      <c r="N28" s="111" t="str">
        <f>IF(J28="FM",H28,"")</f>
        <v/>
      </c>
      <c r="O28" s="33"/>
      <c r="P28" s="75" t="str">
        <f>IF(J28="FM",$P$6*N28,"")</f>
        <v/>
      </c>
      <c r="Q28" s="33"/>
      <c r="R28" s="41">
        <f>IF(L28="FM",H28,"")</f>
        <v>346100.66666666663</v>
      </c>
      <c r="S28" s="33"/>
      <c r="T28" s="80" t="str">
        <f>IF(L28="FM",IF(J28="FM",$T$6*H28,""),"")</f>
        <v/>
      </c>
      <c r="U28" s="69" t="str">
        <f>IF(L28="FM",IF(J28="PMI",$U$6*H28,""),"")</f>
        <v/>
      </c>
      <c r="V28" s="69" t="str">
        <f>IF(L28="FM",IF(J28="OMVS",$V$6*H28,""),"")</f>
        <v/>
      </c>
      <c r="W28" s="112">
        <f>IF(L28="FM",IF(J28="AMF",$W$6*H28,""),"")</f>
        <v>626442.20666666655</v>
      </c>
      <c r="X28" s="164">
        <f t="shared" si="21"/>
        <v>104407.03444444443</v>
      </c>
      <c r="Z28" s="111" t="str">
        <f>IF(J28="PMI",H28,"")</f>
        <v/>
      </c>
      <c r="AA28" s="33"/>
      <c r="AB28" s="75" t="str">
        <f>IF(J28="PMI",$AB$6*Z28,"")</f>
        <v/>
      </c>
      <c r="AC28" s="33"/>
      <c r="AD28" s="41" t="str">
        <f>IF(L28="PMI",H28,"")</f>
        <v/>
      </c>
      <c r="AE28" s="33"/>
      <c r="AF28" s="80" t="str">
        <f>IF(L28="PMI",IF(J28="FM",$AF$6*H28,""),"")</f>
        <v/>
      </c>
      <c r="AG28" s="69" t="str">
        <f>IF(L28="PMI",IF(J28="PMI",$AG$6*H28,""),"")</f>
        <v/>
      </c>
      <c r="AH28" s="112" t="str">
        <f>IF(L28="PMI",IF(J28="AMF",$AH$6*H28,""),"")</f>
        <v/>
      </c>
      <c r="AI28" s="164" t="str">
        <f t="shared" si="22"/>
        <v/>
      </c>
      <c r="AJ28" s="95"/>
      <c r="AK28" s="111" t="str">
        <f t="shared" si="23"/>
        <v/>
      </c>
      <c r="AL28" s="95"/>
      <c r="AM28" s="125" t="str">
        <f t="shared" si="4"/>
        <v/>
      </c>
      <c r="AN28" s="95"/>
      <c r="AO28" s="111">
        <f>IF(J28="AMF",F28,"")</f>
        <v>288417.22222222219</v>
      </c>
      <c r="AP28" s="41"/>
      <c r="AQ28" s="41">
        <f>IF(J28="AMF",G28,"")</f>
        <v>57683.444444444438</v>
      </c>
      <c r="AR28" s="41">
        <f t="shared" si="5"/>
        <v>259575.49999999997</v>
      </c>
      <c r="AS28" s="41">
        <f>IF(AO28="","",AO28-AR28)</f>
        <v>28841.722222222219</v>
      </c>
      <c r="AT28" s="131">
        <f t="shared" si="6"/>
        <v>86525.166666666657</v>
      </c>
    </row>
    <row r="29" spans="2:46" ht="15.75" thickBot="1" x14ac:dyDescent="0.3">
      <c r="B29" s="279"/>
      <c r="C29" s="36" t="s">
        <v>111</v>
      </c>
      <c r="E29" s="55">
        <f>SUM(E24:E28)</f>
        <v>1934351</v>
      </c>
      <c r="F29" s="56">
        <f>SUM(F24:F28)</f>
        <v>1074639.4444444443</v>
      </c>
      <c r="G29" s="56">
        <f>SUM(G24:G28)</f>
        <v>214927.88888888891</v>
      </c>
      <c r="H29" s="56">
        <f>SUM(H24:H28)</f>
        <v>1289567.3333333333</v>
      </c>
      <c r="I29" s="25"/>
      <c r="J29" s="38"/>
      <c r="K29" s="25"/>
      <c r="L29" s="38"/>
      <c r="N29" s="113">
        <f>SUM(N24:N28)</f>
        <v>0</v>
      </c>
      <c r="O29" s="33"/>
      <c r="P29" s="76">
        <f>SUM(P24:P28)</f>
        <v>0</v>
      </c>
      <c r="Q29" s="33"/>
      <c r="R29" s="37">
        <f>SUM(R24:R28)</f>
        <v>1289567.3333333333</v>
      </c>
      <c r="S29" s="33"/>
      <c r="T29" s="81">
        <f t="shared" ref="T29:X29" si="24">SUM(T24:T28)</f>
        <v>0</v>
      </c>
      <c r="U29" s="19">
        <f t="shared" si="24"/>
        <v>0</v>
      </c>
      <c r="V29" s="19">
        <f t="shared" si="24"/>
        <v>0</v>
      </c>
      <c r="W29" s="114">
        <f t="shared" si="24"/>
        <v>2334116.8733333331</v>
      </c>
      <c r="X29" s="165">
        <f t="shared" si="24"/>
        <v>389019.47888888884</v>
      </c>
      <c r="Z29" s="113">
        <f>SUM(Z24:Z28)</f>
        <v>0</v>
      </c>
      <c r="AA29" s="33"/>
      <c r="AB29" s="76">
        <f>SUM(AB24:AB28)</f>
        <v>0</v>
      </c>
      <c r="AC29" s="33"/>
      <c r="AD29" s="37">
        <f>SUM(AD24:AD28)</f>
        <v>0</v>
      </c>
      <c r="AE29" s="33"/>
      <c r="AF29" s="81">
        <f t="shared" ref="AF29:AI29" si="25">SUM(AF24:AF28)</f>
        <v>0</v>
      </c>
      <c r="AG29" s="19">
        <f t="shared" si="25"/>
        <v>0</v>
      </c>
      <c r="AH29" s="114">
        <f t="shared" si="25"/>
        <v>0</v>
      </c>
      <c r="AI29" s="165">
        <f t="shared" si="25"/>
        <v>0</v>
      </c>
      <c r="AJ29" s="95"/>
      <c r="AK29" s="113">
        <f>SUM(AK24:AK28)</f>
        <v>0</v>
      </c>
      <c r="AL29" s="95"/>
      <c r="AM29" s="126">
        <f>SUM(AM24:AM28)</f>
        <v>0</v>
      </c>
      <c r="AN29" s="95"/>
      <c r="AO29" s="113">
        <f>SUM(AO24:AO28)</f>
        <v>1074639.4444444443</v>
      </c>
      <c r="AP29" s="90"/>
      <c r="AQ29" s="37">
        <f>SUM(AQ24:AQ28)</f>
        <v>214927.88888888891</v>
      </c>
      <c r="AR29" s="37">
        <f>SUM(AR24:AR28)</f>
        <v>967175.5</v>
      </c>
      <c r="AS29" s="37">
        <f>SUM(AS24:AS28)</f>
        <v>107463.94444444444</v>
      </c>
      <c r="AT29" s="132">
        <f>SUM(AT24:AT28)</f>
        <v>322391.83333333337</v>
      </c>
    </row>
    <row r="30" spans="2:46" x14ac:dyDescent="0.25">
      <c r="B30" s="257" t="s">
        <v>55</v>
      </c>
      <c r="C30" s="40" t="s">
        <v>56</v>
      </c>
      <c r="E30" s="59">
        <v>156064</v>
      </c>
      <c r="F30" s="54">
        <f>E30/$F$6</f>
        <v>86702.222222222219</v>
      </c>
      <c r="G30" s="54">
        <f>F30*$G$6</f>
        <v>17340.444444444445</v>
      </c>
      <c r="H30" s="54">
        <f t="shared" ref="H30:H34" si="26">F30+G30</f>
        <v>104042.66666666666</v>
      </c>
      <c r="I30" s="25"/>
      <c r="J30" s="63" t="s">
        <v>40</v>
      </c>
      <c r="K30" s="25"/>
      <c r="L30" s="62" t="s">
        <v>3</v>
      </c>
      <c r="N30" s="111">
        <f>IF(J30="FM",H30,"")</f>
        <v>104042.66666666666</v>
      </c>
      <c r="O30" s="33"/>
      <c r="P30" s="75">
        <f>IF(J30="FM",$P$6*N30,"")</f>
        <v>268430.07999999996</v>
      </c>
      <c r="Q30" s="33"/>
      <c r="R30" s="41" t="str">
        <f>IF(L30="FM",H30,"")</f>
        <v/>
      </c>
      <c r="S30" s="33"/>
      <c r="T30" s="80" t="str">
        <f>IF(L30="FM",IF(J30="FM",$T$6*H30,""),"")</f>
        <v/>
      </c>
      <c r="U30" s="69" t="str">
        <f>IF(L30="FM",IF(J30="PMI",$U$6*H30,""),"")</f>
        <v/>
      </c>
      <c r="V30" s="69" t="str">
        <f>IF(L30="FM",IF(J30="OMVS",$V$6*H30,""),"")</f>
        <v/>
      </c>
      <c r="W30" s="112" t="str">
        <f>IF(L30="FM",IF(J30="AMF",$W$6*H30,""),"")</f>
        <v/>
      </c>
      <c r="X30" s="164" t="str">
        <f t="shared" ref="X30:X34" si="27">IF(W30="","",W30*(0.2/1.2))</f>
        <v/>
      </c>
      <c r="Z30" s="111" t="str">
        <f>IF(J30="PMI",H30,"")</f>
        <v/>
      </c>
      <c r="AA30" s="33"/>
      <c r="AB30" s="75" t="str">
        <f>IF(J30="PMI",$AB$6*Z30,"")</f>
        <v/>
      </c>
      <c r="AC30" s="33"/>
      <c r="AD30" s="41">
        <f>IF(L30="PMI",H30,"")</f>
        <v>104042.66666666666</v>
      </c>
      <c r="AE30" s="33"/>
      <c r="AF30" s="80">
        <f>IF(L30="PMI",IF(J30="FM",$AF$6*H30,""),"")</f>
        <v>78032</v>
      </c>
      <c r="AG30" s="69" t="str">
        <f>IF(L30="PMI",IF(J30="PMI",$AG$6*H30,""),"")</f>
        <v/>
      </c>
      <c r="AH30" s="112" t="str">
        <f>IF(L30="PMI",IF(J30="AMF",$AH$6*H30,""),"")</f>
        <v/>
      </c>
      <c r="AI30" s="164" t="str">
        <f t="shared" ref="AI30:AI34" si="28">IF(AH30="","",AH30*(0.2/1.2))</f>
        <v/>
      </c>
      <c r="AJ30" s="95"/>
      <c r="AK30" s="111" t="str">
        <f t="shared" ref="AK30:AK34" si="29">IF(J30="OMVS",H30,"")</f>
        <v/>
      </c>
      <c r="AL30" s="95"/>
      <c r="AM30" s="125" t="str">
        <f t="shared" si="4"/>
        <v/>
      </c>
      <c r="AN30" s="95"/>
      <c r="AO30" s="111" t="str">
        <f>IF(J30="AMF",H30,"")</f>
        <v/>
      </c>
      <c r="AP30" s="41"/>
      <c r="AQ30" s="41" t="str">
        <f>IF(J30="AMF",G30,"")</f>
        <v/>
      </c>
      <c r="AR30" s="41" t="str">
        <f t="shared" si="5"/>
        <v/>
      </c>
      <c r="AS30" s="41" t="str">
        <f>IF(AO30="","",AO30-AR30)</f>
        <v/>
      </c>
      <c r="AT30" s="131" t="str">
        <f t="shared" si="6"/>
        <v/>
      </c>
    </row>
    <row r="31" spans="2:46" x14ac:dyDescent="0.25">
      <c r="B31" s="257"/>
      <c r="C31" s="40" t="s">
        <v>57</v>
      </c>
      <c r="E31" s="59">
        <v>240723</v>
      </c>
      <c r="F31" s="54">
        <f>E31/$F$6</f>
        <v>133735</v>
      </c>
      <c r="G31" s="54">
        <f>F31*$G$6</f>
        <v>26747</v>
      </c>
      <c r="H31" s="54">
        <f t="shared" si="26"/>
        <v>160482</v>
      </c>
      <c r="I31" s="25"/>
      <c r="J31" s="63" t="s">
        <v>40</v>
      </c>
      <c r="K31" s="25"/>
      <c r="L31" s="62" t="s">
        <v>3</v>
      </c>
      <c r="N31" s="111">
        <f>IF(J31="FM",H31,"")</f>
        <v>160482</v>
      </c>
      <c r="O31" s="33"/>
      <c r="P31" s="75">
        <f>IF(J31="FM",$P$6*N31,"")</f>
        <v>414043.56</v>
      </c>
      <c r="Q31" s="33"/>
      <c r="R31" s="41" t="str">
        <f>IF(L31="FM",H31,"")</f>
        <v/>
      </c>
      <c r="S31" s="33"/>
      <c r="T31" s="80" t="str">
        <f>IF(L31="FM",IF(J31="FM",$T$6*H31,""),"")</f>
        <v/>
      </c>
      <c r="U31" s="69" t="str">
        <f>IF(L31="FM",IF(J31="PMI",$U$6*H31,""),"")</f>
        <v/>
      </c>
      <c r="V31" s="69" t="str">
        <f>IF(L31="FM",IF(J31="OMVS",$V$6*H31,""),"")</f>
        <v/>
      </c>
      <c r="W31" s="112" t="str">
        <f>IF(L31="FM",IF(J31="AMF",$W$6*H31,""),"")</f>
        <v/>
      </c>
      <c r="X31" s="164" t="str">
        <f t="shared" si="27"/>
        <v/>
      </c>
      <c r="Z31" s="111" t="str">
        <f>IF(J31="PMI",H31,"")</f>
        <v/>
      </c>
      <c r="AA31" s="33"/>
      <c r="AB31" s="75" t="str">
        <f>IF(J31="PMI",$AB$6*Z31,"")</f>
        <v/>
      </c>
      <c r="AC31" s="33"/>
      <c r="AD31" s="41">
        <f>IF(L31="PMI",H31,"")</f>
        <v>160482</v>
      </c>
      <c r="AE31" s="33"/>
      <c r="AF31" s="80">
        <f>IF(L31="PMI",IF(J31="FM",$AF$6*H31,""),"")</f>
        <v>120361.5</v>
      </c>
      <c r="AG31" s="69" t="str">
        <f>IF(L31="PMI",IF(J31="PMI",$AG$6*H31,""),"")</f>
        <v/>
      </c>
      <c r="AH31" s="112" t="str">
        <f>IF(L31="PMI",IF(J31="AMF",$AH$6*H31,""),"")</f>
        <v/>
      </c>
      <c r="AI31" s="164" t="str">
        <f t="shared" si="28"/>
        <v/>
      </c>
      <c r="AJ31" s="95"/>
      <c r="AK31" s="111" t="str">
        <f t="shared" si="29"/>
        <v/>
      </c>
      <c r="AL31" s="95"/>
      <c r="AM31" s="125" t="str">
        <f t="shared" si="4"/>
        <v/>
      </c>
      <c r="AN31" s="95"/>
      <c r="AO31" s="111" t="str">
        <f>IF(J31="AMF",H31,"")</f>
        <v/>
      </c>
      <c r="AP31" s="41"/>
      <c r="AQ31" s="41" t="str">
        <f>IF(J31="AMF",G31,"")</f>
        <v/>
      </c>
      <c r="AR31" s="41" t="str">
        <f t="shared" si="5"/>
        <v/>
      </c>
      <c r="AS31" s="41" t="str">
        <f>IF(AO31="","",AO31-AR31)</f>
        <v/>
      </c>
      <c r="AT31" s="131" t="str">
        <f t="shared" si="6"/>
        <v/>
      </c>
    </row>
    <row r="32" spans="2:46" x14ac:dyDescent="0.25">
      <c r="B32" s="257"/>
      <c r="C32" s="40" t="s">
        <v>58</v>
      </c>
      <c r="E32" s="59">
        <v>358939</v>
      </c>
      <c r="F32" s="54">
        <f>E32/$F$6</f>
        <v>199410.55555555556</v>
      </c>
      <c r="G32" s="54">
        <f>F32*$G$6</f>
        <v>39882.111111111117</v>
      </c>
      <c r="H32" s="54">
        <f t="shared" si="26"/>
        <v>239292.66666666669</v>
      </c>
      <c r="I32" s="25"/>
      <c r="J32" s="63" t="s">
        <v>40</v>
      </c>
      <c r="K32" s="25"/>
      <c r="L32" s="62" t="s">
        <v>3</v>
      </c>
      <c r="N32" s="111">
        <f>IF(J32="FM",H32,"")</f>
        <v>239292.66666666669</v>
      </c>
      <c r="O32" s="33"/>
      <c r="P32" s="75">
        <f>IF(J32="FM",$P$6*N32,"")</f>
        <v>617375.08000000007</v>
      </c>
      <c r="Q32" s="33"/>
      <c r="R32" s="41" t="str">
        <f>IF(L32="FM",H32,"")</f>
        <v/>
      </c>
      <c r="S32" s="33"/>
      <c r="T32" s="80" t="str">
        <f>IF(L32="FM",IF(J32="FM",$T$6*H32,""),"")</f>
        <v/>
      </c>
      <c r="U32" s="69" t="str">
        <f>IF(L32="FM",IF(J32="PMI",$U$6*H32,""),"")</f>
        <v/>
      </c>
      <c r="V32" s="69" t="str">
        <f>IF(L32="FM",IF(J32="OMVS",$V$6*H32,""),"")</f>
        <v/>
      </c>
      <c r="W32" s="112" t="str">
        <f>IF(L32="FM",IF(J32="AMF",$W$6*H32,""),"")</f>
        <v/>
      </c>
      <c r="X32" s="164" t="str">
        <f t="shared" si="27"/>
        <v/>
      </c>
      <c r="Z32" s="111" t="str">
        <f>IF(J32="PMI",H32,"")</f>
        <v/>
      </c>
      <c r="AA32" s="33"/>
      <c r="AB32" s="75" t="str">
        <f>IF(J32="PMI",$AB$6*Z32,"")</f>
        <v/>
      </c>
      <c r="AC32" s="33"/>
      <c r="AD32" s="41">
        <f>IF(L32="PMI",H32,"")</f>
        <v>239292.66666666669</v>
      </c>
      <c r="AE32" s="33"/>
      <c r="AF32" s="80">
        <f>IF(L32="PMI",IF(J32="FM",$AF$6*H32,""),"")</f>
        <v>179469.5</v>
      </c>
      <c r="AG32" s="69" t="str">
        <f>IF(L32="PMI",IF(J32="PMI",$AG$6*H32,""),"")</f>
        <v/>
      </c>
      <c r="AH32" s="112" t="str">
        <f>IF(L32="PMI",IF(J32="AMF",$AH$6*H32,""),"")</f>
        <v/>
      </c>
      <c r="AI32" s="164" t="str">
        <f t="shared" si="28"/>
        <v/>
      </c>
      <c r="AJ32" s="95"/>
      <c r="AK32" s="111" t="str">
        <f t="shared" si="29"/>
        <v/>
      </c>
      <c r="AL32" s="95"/>
      <c r="AM32" s="125" t="str">
        <f t="shared" si="4"/>
        <v/>
      </c>
      <c r="AN32" s="95"/>
      <c r="AO32" s="111" t="str">
        <f>IF(J32="AMF",H32,"")</f>
        <v/>
      </c>
      <c r="AP32" s="41"/>
      <c r="AQ32" s="41" t="str">
        <f>IF(J32="AMF",G32,"")</f>
        <v/>
      </c>
      <c r="AR32" s="41" t="str">
        <f t="shared" si="5"/>
        <v/>
      </c>
      <c r="AS32" s="41" t="str">
        <f>IF(AO32="","",AO32-AR32)</f>
        <v/>
      </c>
      <c r="AT32" s="131" t="str">
        <f t="shared" si="6"/>
        <v/>
      </c>
    </row>
    <row r="33" spans="2:46" x14ac:dyDescent="0.25">
      <c r="B33" s="257"/>
      <c r="C33" s="40" t="s">
        <v>59</v>
      </c>
      <c r="E33" s="59">
        <v>527151</v>
      </c>
      <c r="F33" s="54">
        <f>E33/$F$6</f>
        <v>292861.66666666669</v>
      </c>
      <c r="G33" s="54">
        <f>F33*$G$6</f>
        <v>58572.333333333343</v>
      </c>
      <c r="H33" s="54">
        <f t="shared" si="26"/>
        <v>351434</v>
      </c>
      <c r="I33" s="25"/>
      <c r="J33" s="63" t="s">
        <v>40</v>
      </c>
      <c r="K33" s="25"/>
      <c r="L33" s="63" t="s">
        <v>40</v>
      </c>
      <c r="N33" s="111">
        <f>IF(J33="FM",H33,"")</f>
        <v>351434</v>
      </c>
      <c r="O33" s="33"/>
      <c r="P33" s="75">
        <f>IF(J33="FM",$P$6*N33,"")</f>
        <v>906699.72</v>
      </c>
      <c r="Q33" s="33"/>
      <c r="R33" s="41">
        <f>IF(L33="FM",H33,"")</f>
        <v>351434</v>
      </c>
      <c r="S33" s="33"/>
      <c r="T33" s="80">
        <f>IF(L33="FM",IF(J33="FM",$T$6*H33,""),"")</f>
        <v>492007.6</v>
      </c>
      <c r="U33" s="69" t="str">
        <f>IF(L33="FM",IF(J33="PMI",$U$6*H33,""),"")</f>
        <v/>
      </c>
      <c r="V33" s="69" t="str">
        <f>IF(L33="FM",IF(J33="OMVS",$V$6*H33,""),"")</f>
        <v/>
      </c>
      <c r="W33" s="112" t="str">
        <f>IF(L33="FM",IF(J33="AMF",$W$6*H33,""),"")</f>
        <v/>
      </c>
      <c r="X33" s="164" t="str">
        <f t="shared" si="27"/>
        <v/>
      </c>
      <c r="Z33" s="111" t="str">
        <f>IF(J33="PMI",H33,"")</f>
        <v/>
      </c>
      <c r="AA33" s="33"/>
      <c r="AB33" s="75" t="str">
        <f>IF(J33="PMI",$AB$6*Z33,"")</f>
        <v/>
      </c>
      <c r="AC33" s="33"/>
      <c r="AD33" s="41" t="str">
        <f>IF(L33="PMI",H33,"")</f>
        <v/>
      </c>
      <c r="AE33" s="33"/>
      <c r="AF33" s="80" t="str">
        <f>IF(L33="PMI",IF(J33="FM",$AF$6*H33,""),"")</f>
        <v/>
      </c>
      <c r="AG33" s="69" t="str">
        <f>IF(L33="PMI",IF(J33="PMI",$AG$6*H33,""),"")</f>
        <v/>
      </c>
      <c r="AH33" s="112" t="str">
        <f>IF(L33="PMI",IF(J33="AMF",$AH$6*H33,""),"")</f>
        <v/>
      </c>
      <c r="AI33" s="164" t="str">
        <f t="shared" si="28"/>
        <v/>
      </c>
      <c r="AJ33" s="95"/>
      <c r="AK33" s="111" t="str">
        <f t="shared" si="29"/>
        <v/>
      </c>
      <c r="AL33" s="95"/>
      <c r="AM33" s="125" t="str">
        <f t="shared" si="4"/>
        <v/>
      </c>
      <c r="AN33" s="95"/>
      <c r="AO33" s="111" t="str">
        <f>IF(J33="AMF",H33,"")</f>
        <v/>
      </c>
      <c r="AP33" s="41"/>
      <c r="AQ33" s="41" t="str">
        <f>IF(J33="AMF",G33,"")</f>
        <v/>
      </c>
      <c r="AR33" s="41" t="str">
        <f t="shared" si="5"/>
        <v/>
      </c>
      <c r="AS33" s="41" t="str">
        <f>IF(AO33="","",AO33-AR33)</f>
        <v/>
      </c>
      <c r="AT33" s="131" t="str">
        <f t="shared" si="6"/>
        <v/>
      </c>
    </row>
    <row r="34" spans="2:46" ht="15.75" thickBot="1" x14ac:dyDescent="0.3">
      <c r="B34" s="257"/>
      <c r="C34" s="40" t="s">
        <v>60</v>
      </c>
      <c r="E34" s="59">
        <v>418588</v>
      </c>
      <c r="F34" s="54">
        <f>E34/$F$6</f>
        <v>232548.88888888888</v>
      </c>
      <c r="G34" s="54">
        <f>F34*$G$6</f>
        <v>46509.777777777781</v>
      </c>
      <c r="H34" s="54">
        <f t="shared" si="26"/>
        <v>279058.66666666663</v>
      </c>
      <c r="I34" s="25"/>
      <c r="J34" s="63" t="s">
        <v>40</v>
      </c>
      <c r="K34" s="25"/>
      <c r="L34" s="63" t="s">
        <v>40</v>
      </c>
      <c r="N34" s="111">
        <f>IF(J34="FM",H34,"")</f>
        <v>279058.66666666663</v>
      </c>
      <c r="O34" s="33"/>
      <c r="P34" s="75">
        <f>IF(J34="FM",$P$6*N34,"")</f>
        <v>719971.35999999987</v>
      </c>
      <c r="Q34" s="33"/>
      <c r="R34" s="41">
        <f>IF(L34="FM",H34,"")</f>
        <v>279058.66666666663</v>
      </c>
      <c r="S34" s="33"/>
      <c r="T34" s="80">
        <f>IF(L34="FM",IF(J34="FM",$T$6*H34,""),"")</f>
        <v>390682.13333333324</v>
      </c>
      <c r="U34" s="69" t="str">
        <f>IF(L34="FM",IF(J34="PMI",$U$6*H34,""),"")</f>
        <v/>
      </c>
      <c r="V34" s="69" t="str">
        <f>IF(L34="FM",IF(J34="OMVS",$V$6*H34,""),"")</f>
        <v/>
      </c>
      <c r="W34" s="112" t="str">
        <f>IF(L34="FM",IF(J34="AMF",$W$6*H34,""),"")</f>
        <v/>
      </c>
      <c r="X34" s="164" t="str">
        <f t="shared" si="27"/>
        <v/>
      </c>
      <c r="Z34" s="111" t="str">
        <f>IF(J34="PMI",H34,"")</f>
        <v/>
      </c>
      <c r="AA34" s="33"/>
      <c r="AB34" s="75" t="str">
        <f>IF(J34="PMI",$AB$6*Z34,"")</f>
        <v/>
      </c>
      <c r="AC34" s="33"/>
      <c r="AD34" s="41" t="str">
        <f>IF(L34="PMI",H34,"")</f>
        <v/>
      </c>
      <c r="AE34" s="33"/>
      <c r="AF34" s="80" t="str">
        <f>IF(L34="PMI",IF(J34="FM",$AF$6*H34,""),"")</f>
        <v/>
      </c>
      <c r="AG34" s="69" t="str">
        <f>IF(L34="PMI",IF(J34="PMI",$AG$6*H34,""),"")</f>
        <v/>
      </c>
      <c r="AH34" s="112" t="str">
        <f>IF(L34="PMI",IF(J34="AMF",$AH$6*H34,""),"")</f>
        <v/>
      </c>
      <c r="AI34" s="164" t="str">
        <f t="shared" si="28"/>
        <v/>
      </c>
      <c r="AJ34" s="95"/>
      <c r="AK34" s="111" t="str">
        <f t="shared" si="29"/>
        <v/>
      </c>
      <c r="AL34" s="95"/>
      <c r="AM34" s="125" t="str">
        <f t="shared" si="4"/>
        <v/>
      </c>
      <c r="AN34" s="95"/>
      <c r="AO34" s="111" t="str">
        <f>IF(J34="AMF",H34,"")</f>
        <v/>
      </c>
      <c r="AP34" s="41"/>
      <c r="AQ34" s="41" t="str">
        <f>IF(J34="AMF",G34,"")</f>
        <v/>
      </c>
      <c r="AR34" s="41" t="str">
        <f t="shared" si="5"/>
        <v/>
      </c>
      <c r="AS34" s="41" t="str">
        <f>IF(AO34="","",AO34-AR34)</f>
        <v/>
      </c>
      <c r="AT34" s="131" t="str">
        <f t="shared" si="6"/>
        <v/>
      </c>
    </row>
    <row r="35" spans="2:46" ht="15.75" thickBot="1" x14ac:dyDescent="0.3">
      <c r="B35" s="257"/>
      <c r="C35" s="36" t="s">
        <v>111</v>
      </c>
      <c r="E35" s="60">
        <f>SUM(E30:E34)</f>
        <v>1701465</v>
      </c>
      <c r="F35" s="56">
        <f>SUM(F30:F34)</f>
        <v>945258.33333333337</v>
      </c>
      <c r="G35" s="56">
        <f>SUM(G30:G34)</f>
        <v>189051.66666666669</v>
      </c>
      <c r="H35" s="56">
        <f>SUM(H30:H34)</f>
        <v>1134310</v>
      </c>
      <c r="I35" s="25"/>
      <c r="J35" s="162"/>
      <c r="K35" s="25"/>
      <c r="L35" s="38"/>
      <c r="N35" s="113">
        <f>SUM(N30:N34)</f>
        <v>1134310</v>
      </c>
      <c r="O35" s="33"/>
      <c r="P35" s="76">
        <f>SUM(P30:P34)</f>
        <v>2926519.8</v>
      </c>
      <c r="Q35" s="33"/>
      <c r="R35" s="37">
        <f>SUM(R30:R34)</f>
        <v>630492.66666666663</v>
      </c>
      <c r="S35" s="33"/>
      <c r="T35" s="81">
        <f t="shared" ref="T35:X35" si="30">SUM(T30:T34)</f>
        <v>882689.73333333316</v>
      </c>
      <c r="U35" s="19">
        <f t="shared" si="30"/>
        <v>0</v>
      </c>
      <c r="V35" s="19">
        <f t="shared" si="30"/>
        <v>0</v>
      </c>
      <c r="W35" s="114">
        <f t="shared" si="30"/>
        <v>0</v>
      </c>
      <c r="X35" s="165">
        <f t="shared" si="30"/>
        <v>0</v>
      </c>
      <c r="Z35" s="113">
        <f>SUM(Z30:Z34)</f>
        <v>0</v>
      </c>
      <c r="AA35" s="33"/>
      <c r="AB35" s="76">
        <f>SUM(AB30:AB34)</f>
        <v>0</v>
      </c>
      <c r="AC35" s="33"/>
      <c r="AD35" s="37">
        <f>SUM(AD30:AD34)</f>
        <v>503817.33333333331</v>
      </c>
      <c r="AE35" s="33"/>
      <c r="AF35" s="81">
        <f t="shared" ref="AF35:AI35" si="31">SUM(AF30:AF34)</f>
        <v>377863</v>
      </c>
      <c r="AG35" s="19">
        <f t="shared" si="31"/>
        <v>0</v>
      </c>
      <c r="AH35" s="114">
        <f t="shared" si="31"/>
        <v>0</v>
      </c>
      <c r="AI35" s="165">
        <f t="shared" si="31"/>
        <v>0</v>
      </c>
      <c r="AJ35" s="95"/>
      <c r="AK35" s="113">
        <f>SUM(AK30:AK34)</f>
        <v>0</v>
      </c>
      <c r="AL35" s="95"/>
      <c r="AM35" s="126">
        <f>SUM(AM30:AM34)</f>
        <v>0</v>
      </c>
      <c r="AN35" s="95"/>
      <c r="AO35" s="113">
        <f>SUM(AO30:AO34)</f>
        <v>0</v>
      </c>
      <c r="AP35" s="90"/>
      <c r="AQ35" s="37">
        <f>SUM(AQ30:AQ34)</f>
        <v>0</v>
      </c>
      <c r="AR35" s="37">
        <f>SUM(AR30:AR34)</f>
        <v>0</v>
      </c>
      <c r="AS35" s="37">
        <f>SUM(AS30:AS34)</f>
        <v>0</v>
      </c>
      <c r="AT35" s="132">
        <f>SUM(AT30:AT34)</f>
        <v>0</v>
      </c>
    </row>
    <row r="36" spans="2:46" ht="15.75" thickBot="1" x14ac:dyDescent="0.3">
      <c r="B36" s="257" t="s">
        <v>62</v>
      </c>
      <c r="C36" s="40" t="s">
        <v>63</v>
      </c>
      <c r="E36" s="59">
        <v>169356</v>
      </c>
      <c r="F36" s="54">
        <f>E36/$F$6</f>
        <v>94086.666666666672</v>
      </c>
      <c r="G36" s="54">
        <f>F36*$G$6</f>
        <v>18817.333333333336</v>
      </c>
      <c r="H36" s="54">
        <f t="shared" ref="H36:H40" si="32">F36+G36</f>
        <v>112904</v>
      </c>
      <c r="I36" s="25"/>
      <c r="J36" s="92" t="s">
        <v>3</v>
      </c>
      <c r="K36" s="100" t="s">
        <v>114</v>
      </c>
      <c r="L36" s="62" t="s">
        <v>3</v>
      </c>
      <c r="N36" s="111" t="str">
        <f>IF(J36="FM",H36,"")</f>
        <v/>
      </c>
      <c r="O36" s="33"/>
      <c r="P36" s="75" t="str">
        <f>IF(J36="FM",$P$6*N36,"")</f>
        <v/>
      </c>
      <c r="Q36" s="33"/>
      <c r="R36" s="41" t="str">
        <f>IF(L36="FM",H36,"")</f>
        <v/>
      </c>
      <c r="S36" s="33"/>
      <c r="T36" s="80" t="str">
        <f>IF(L36="FM",IF(J36="FM",$T$6*H36,""),"")</f>
        <v/>
      </c>
      <c r="U36" s="69" t="str">
        <f>IF(L36="FM",IF(J36="PMI",$U$6*H36,""),"")</f>
        <v/>
      </c>
      <c r="V36" s="69" t="str">
        <f>IF(L36="FM",IF(J36="OMVS",$V$6*H36,""),"")</f>
        <v/>
      </c>
      <c r="W36" s="112" t="str">
        <f>IF(L36="FM",IF(J36="AMF",$W$6*H36,""),"")</f>
        <v/>
      </c>
      <c r="X36" s="164" t="str">
        <f t="shared" ref="X36:X40" si="33">IF(W36="","",W36*(0.2/1.2))</f>
        <v/>
      </c>
      <c r="Z36" s="111">
        <f>IF(J36="PMI",H36,"")</f>
        <v>112904</v>
      </c>
      <c r="AA36" s="33"/>
      <c r="AB36" s="75">
        <f>IF(J36="PMI",$AB$6*Z36,"")</f>
        <v>295808.48</v>
      </c>
      <c r="AC36" s="33"/>
      <c r="AD36" s="41">
        <f>IF(L36="PMI",H36,"")</f>
        <v>112904</v>
      </c>
      <c r="AE36" s="33"/>
      <c r="AF36" s="80" t="str">
        <f>IF(L36="PMI",IF(J36="FM",$AF$6*H36,""),"")</f>
        <v/>
      </c>
      <c r="AG36" s="69">
        <f>IF(L36="PMI",IF(J36="PMI",$AG$6*H36,""),"")</f>
        <v>84678</v>
      </c>
      <c r="AH36" s="112" t="str">
        <f>IF(L36="PMI",IF(J36="AMF",$AH$6*H36,""),"")</f>
        <v/>
      </c>
      <c r="AI36" s="164" t="str">
        <f t="shared" ref="AI36:AI40" si="34">IF(AH36="","",AH36*(0.2/1.2))</f>
        <v/>
      </c>
      <c r="AJ36" s="95"/>
      <c r="AK36" s="111" t="str">
        <f t="shared" ref="AK36:AK40" si="35">IF(J36="OMVS",H36,"")</f>
        <v/>
      </c>
      <c r="AL36" s="95"/>
      <c r="AM36" s="125" t="str">
        <f t="shared" si="4"/>
        <v/>
      </c>
      <c r="AN36" s="95"/>
      <c r="AO36" s="111" t="str">
        <f>IF(J36="AMF",H36,"")</f>
        <v/>
      </c>
      <c r="AP36" s="41"/>
      <c r="AQ36" s="41" t="str">
        <f>IF(J36="AMF",G36,"")</f>
        <v/>
      </c>
      <c r="AR36" s="41" t="str">
        <f t="shared" si="5"/>
        <v/>
      </c>
      <c r="AS36" s="41" t="str">
        <f>IF(AO36="","",AO36-AR36)</f>
        <v/>
      </c>
      <c r="AT36" s="131" t="str">
        <f t="shared" si="6"/>
        <v/>
      </c>
    </row>
    <row r="37" spans="2:46" ht="15.75" thickBot="1" x14ac:dyDescent="0.3">
      <c r="B37" s="257"/>
      <c r="C37" s="40" t="s">
        <v>64</v>
      </c>
      <c r="E37" s="59">
        <v>458370</v>
      </c>
      <c r="F37" s="54">
        <f>E37/$F$6</f>
        <v>254650</v>
      </c>
      <c r="G37" s="54">
        <f>F37*$G$6</f>
        <v>50930</v>
      </c>
      <c r="H37" s="54">
        <f t="shared" si="32"/>
        <v>305580</v>
      </c>
      <c r="I37" s="25"/>
      <c r="J37" s="91" t="s">
        <v>40</v>
      </c>
      <c r="K37" s="100" t="s">
        <v>114</v>
      </c>
      <c r="L37" s="62" t="s">
        <v>3</v>
      </c>
      <c r="N37" s="111">
        <f>IF(J37="FM",H37,"")</f>
        <v>305580</v>
      </c>
      <c r="O37" s="33"/>
      <c r="P37" s="75">
        <f>IF(J37="FM",$P$6*N37,"")</f>
        <v>788396.4</v>
      </c>
      <c r="Q37" s="33"/>
      <c r="R37" s="41" t="str">
        <f>IF(L37="FM",H37,"")</f>
        <v/>
      </c>
      <c r="S37" s="33"/>
      <c r="T37" s="80" t="str">
        <f>IF(L37="FM",IF(J37="FM",$T$6*H37,""),"")</f>
        <v/>
      </c>
      <c r="U37" s="69" t="str">
        <f>IF(L37="FM",IF(J37="PMI",$U$6*H37,""),"")</f>
        <v/>
      </c>
      <c r="V37" s="69" t="str">
        <f>IF(L37="FM",IF(J37="OMVS",$V$6*H37,""),"")</f>
        <v/>
      </c>
      <c r="W37" s="112" t="str">
        <f>IF(L37="FM",IF(J37="AMF",$W$6*H37,""),"")</f>
        <v/>
      </c>
      <c r="X37" s="164" t="str">
        <f t="shared" si="33"/>
        <v/>
      </c>
      <c r="Z37" s="111" t="str">
        <f>IF(J37="PMI",H37,"")</f>
        <v/>
      </c>
      <c r="AA37" s="33"/>
      <c r="AB37" s="75" t="str">
        <f>IF(J37="PMI",$AB$6*Z37,"")</f>
        <v/>
      </c>
      <c r="AC37" s="33"/>
      <c r="AD37" s="41">
        <f>IF(L37="PMI",H37,"")</f>
        <v>305580</v>
      </c>
      <c r="AE37" s="33"/>
      <c r="AF37" s="80">
        <f>IF(L37="PMI",IF(J37="FM",$AF$6*H37,""),"")</f>
        <v>229185</v>
      </c>
      <c r="AG37" s="69" t="str">
        <f>IF(L37="PMI",IF(J37="PMI",$AG$6*H37,""),"")</f>
        <v/>
      </c>
      <c r="AH37" s="112" t="str">
        <f>IF(L37="PMI",IF(J37="AMF",$AH$6*H37,""),"")</f>
        <v/>
      </c>
      <c r="AI37" s="164" t="str">
        <f t="shared" si="34"/>
        <v/>
      </c>
      <c r="AJ37" s="95"/>
      <c r="AK37" s="111" t="str">
        <f t="shared" si="35"/>
        <v/>
      </c>
      <c r="AL37" s="95"/>
      <c r="AM37" s="125" t="str">
        <f t="shared" si="4"/>
        <v/>
      </c>
      <c r="AN37" s="95"/>
      <c r="AO37" s="111" t="str">
        <f>IF(J37="AMF",H37,"")</f>
        <v/>
      </c>
      <c r="AP37" s="41"/>
      <c r="AQ37" s="41" t="str">
        <f>IF(J37="AMF",G37,"")</f>
        <v/>
      </c>
      <c r="AR37" s="41" t="str">
        <f t="shared" si="5"/>
        <v/>
      </c>
      <c r="AS37" s="41" t="str">
        <f>IF(AO37="","",AO37-AR37)</f>
        <v/>
      </c>
      <c r="AT37" s="131" t="str">
        <f t="shared" si="6"/>
        <v/>
      </c>
    </row>
    <row r="38" spans="2:46" ht="15.75" thickBot="1" x14ac:dyDescent="0.3">
      <c r="B38" s="257"/>
      <c r="C38" s="40" t="s">
        <v>65</v>
      </c>
      <c r="E38" s="59">
        <v>250928</v>
      </c>
      <c r="F38" s="54">
        <f>E38/$F$6</f>
        <v>139404.44444444444</v>
      </c>
      <c r="G38" s="54">
        <f>F38*$G$6</f>
        <v>27880.888888888891</v>
      </c>
      <c r="H38" s="54">
        <f t="shared" si="32"/>
        <v>167285.33333333331</v>
      </c>
      <c r="I38" s="25"/>
      <c r="J38" s="92" t="s">
        <v>3</v>
      </c>
      <c r="K38" s="100" t="s">
        <v>114</v>
      </c>
      <c r="L38" s="62" t="s">
        <v>3</v>
      </c>
      <c r="N38" s="111" t="str">
        <f>IF(J38="FM",H38,"")</f>
        <v/>
      </c>
      <c r="O38" s="33"/>
      <c r="P38" s="75" t="str">
        <f>IF(J38="FM",$P$6*N38,"")</f>
        <v/>
      </c>
      <c r="Q38" s="33"/>
      <c r="R38" s="41" t="str">
        <f>IF(L38="FM",H38,"")</f>
        <v/>
      </c>
      <c r="S38" s="33"/>
      <c r="T38" s="80" t="str">
        <f>IF(L38="FM",IF(J38="FM",$T$6*H38,""),"")</f>
        <v/>
      </c>
      <c r="U38" s="69" t="str">
        <f>IF(L38="FM",IF(J38="PMI",$U$6*H38,""),"")</f>
        <v/>
      </c>
      <c r="V38" s="69" t="str">
        <f>IF(L38="FM",IF(J38="OMVS",$V$6*H38,""),"")</f>
        <v/>
      </c>
      <c r="W38" s="112" t="str">
        <f>IF(L38="FM",IF(J38="AMF",$W$6*H38,""),"")</f>
        <v/>
      </c>
      <c r="X38" s="164" t="str">
        <f t="shared" si="33"/>
        <v/>
      </c>
      <c r="Z38" s="111">
        <f>IF(J38="PMI",H38,"")</f>
        <v>167285.33333333331</v>
      </c>
      <c r="AA38" s="33"/>
      <c r="AB38" s="75">
        <f>IF(J38="PMI",$AB$6*Z38,"")</f>
        <v>438287.57333333325</v>
      </c>
      <c r="AC38" s="33"/>
      <c r="AD38" s="41">
        <f>IF(L38="PMI",H38,"")</f>
        <v>167285.33333333331</v>
      </c>
      <c r="AE38" s="33"/>
      <c r="AF38" s="80" t="str">
        <f>IF(L38="PMI",IF(J38="FM",$AF$6*H38,""),"")</f>
        <v/>
      </c>
      <c r="AG38" s="69">
        <f>IF(L38="PMI",IF(J38="PMI",$AG$6*H38,""),"")</f>
        <v>125463.99999999999</v>
      </c>
      <c r="AH38" s="112" t="str">
        <f>IF(L38="PMI",IF(J38="AMF",$AH$6*H38,""),"")</f>
        <v/>
      </c>
      <c r="AI38" s="164" t="str">
        <f t="shared" si="34"/>
        <v/>
      </c>
      <c r="AJ38" s="95"/>
      <c r="AK38" s="111" t="str">
        <f t="shared" si="35"/>
        <v/>
      </c>
      <c r="AL38" s="95"/>
      <c r="AM38" s="125" t="str">
        <f t="shared" si="4"/>
        <v/>
      </c>
      <c r="AN38" s="95"/>
      <c r="AO38" s="111" t="str">
        <f>IF(J38="AMF",H38,"")</f>
        <v/>
      </c>
      <c r="AP38" s="41"/>
      <c r="AQ38" s="41" t="str">
        <f>IF(J38="AMF",G38,"")</f>
        <v/>
      </c>
      <c r="AR38" s="41" t="str">
        <f t="shared" si="5"/>
        <v/>
      </c>
      <c r="AS38" s="41" t="str">
        <f>IF(AO38="","",AO38-AR38)</f>
        <v/>
      </c>
      <c r="AT38" s="131" t="str">
        <f t="shared" si="6"/>
        <v/>
      </c>
    </row>
    <row r="39" spans="2:46" ht="15.75" thickBot="1" x14ac:dyDescent="0.3">
      <c r="B39" s="257"/>
      <c r="C39" s="40" t="s">
        <v>66</v>
      </c>
      <c r="E39" s="59">
        <v>373978</v>
      </c>
      <c r="F39" s="54">
        <f>E39/$F$6</f>
        <v>207765.55555555556</v>
      </c>
      <c r="G39" s="54">
        <f>F39*$G$6</f>
        <v>41553.111111111117</v>
      </c>
      <c r="H39" s="54">
        <f t="shared" si="32"/>
        <v>249318.66666666669</v>
      </c>
      <c r="I39" s="25"/>
      <c r="J39" s="91" t="s">
        <v>40</v>
      </c>
      <c r="K39" s="100" t="s">
        <v>114</v>
      </c>
      <c r="L39" s="62" t="s">
        <v>3</v>
      </c>
      <c r="N39" s="111">
        <f>IF(J39="FM",H39,"")</f>
        <v>249318.66666666669</v>
      </c>
      <c r="O39" s="33"/>
      <c r="P39" s="75">
        <f>IF(J39="FM",$P$6*N39,"")</f>
        <v>643242.16</v>
      </c>
      <c r="Q39" s="33"/>
      <c r="R39" s="41" t="str">
        <f>IF(L39="FM",H39,"")</f>
        <v/>
      </c>
      <c r="S39" s="33"/>
      <c r="T39" s="80" t="str">
        <f>IF(L39="FM",IF(J39="FM",$T$6*H39,""),"")</f>
        <v/>
      </c>
      <c r="U39" s="69" t="str">
        <f>IF(L39="FM",IF(J39="PMI",$U$6*H39,""),"")</f>
        <v/>
      </c>
      <c r="V39" s="69" t="str">
        <f>IF(L39="FM",IF(J39="OMVS",$V$6*H39,""),"")</f>
        <v/>
      </c>
      <c r="W39" s="112" t="str">
        <f>IF(L39="FM",IF(J39="AMF",$W$6*H39,""),"")</f>
        <v/>
      </c>
      <c r="X39" s="164" t="str">
        <f t="shared" si="33"/>
        <v/>
      </c>
      <c r="Z39" s="111" t="str">
        <f>IF(J39="PMI",H39,"")</f>
        <v/>
      </c>
      <c r="AA39" s="33"/>
      <c r="AB39" s="75" t="str">
        <f>IF(J39="PMI",$AB$6*Z39,"")</f>
        <v/>
      </c>
      <c r="AC39" s="33"/>
      <c r="AD39" s="41">
        <f>IF(L39="PMI",H39,"")</f>
        <v>249318.66666666669</v>
      </c>
      <c r="AE39" s="33"/>
      <c r="AF39" s="80">
        <f>IF(L39="PMI",IF(J39="FM",$AF$6*H39,""),"")</f>
        <v>186989</v>
      </c>
      <c r="AG39" s="69" t="str">
        <f>IF(L39="PMI",IF(J39="PMI",$AG$6*H39,""),"")</f>
        <v/>
      </c>
      <c r="AH39" s="112" t="str">
        <f>IF(L39="PMI",IF(J39="AMF",$AH$6*H39,""),"")</f>
        <v/>
      </c>
      <c r="AI39" s="164" t="str">
        <f t="shared" si="34"/>
        <v/>
      </c>
      <c r="AJ39" s="95"/>
      <c r="AK39" s="111" t="str">
        <f t="shared" si="35"/>
        <v/>
      </c>
      <c r="AL39" s="95"/>
      <c r="AM39" s="125" t="str">
        <f t="shared" si="4"/>
        <v/>
      </c>
      <c r="AN39" s="95"/>
      <c r="AO39" s="111" t="str">
        <f>IF(J39="AMF",H39,"")</f>
        <v/>
      </c>
      <c r="AP39" s="41"/>
      <c r="AQ39" s="41" t="str">
        <f>IF(J39="AMF",G39,"")</f>
        <v/>
      </c>
      <c r="AR39" s="41" t="str">
        <f t="shared" si="5"/>
        <v/>
      </c>
      <c r="AS39" s="41" t="str">
        <f>IF(AO39="","",AO39-AR39)</f>
        <v/>
      </c>
      <c r="AT39" s="131" t="str">
        <f t="shared" si="6"/>
        <v/>
      </c>
    </row>
    <row r="40" spans="2:46" ht="15.75" thickBot="1" x14ac:dyDescent="0.3">
      <c r="B40" s="257"/>
      <c r="C40" s="40" t="s">
        <v>67</v>
      </c>
      <c r="E40" s="59">
        <v>210135</v>
      </c>
      <c r="F40" s="54">
        <f>E40/$F$6</f>
        <v>116741.66666666666</v>
      </c>
      <c r="G40" s="54">
        <f>F40*$G$6</f>
        <v>23348.333333333332</v>
      </c>
      <c r="H40" s="54">
        <f t="shared" si="32"/>
        <v>140090</v>
      </c>
      <c r="I40" s="25"/>
      <c r="J40" s="92" t="s">
        <v>3</v>
      </c>
      <c r="K40" s="100" t="s">
        <v>114</v>
      </c>
      <c r="L40" s="62" t="s">
        <v>3</v>
      </c>
      <c r="N40" s="111" t="str">
        <f>IF(J40="FM",H40,"")</f>
        <v/>
      </c>
      <c r="O40" s="33"/>
      <c r="P40" s="75" t="str">
        <f>IF(J40="FM",$P$6*N40,"")</f>
        <v/>
      </c>
      <c r="Q40" s="33"/>
      <c r="R40" s="41" t="str">
        <f>IF(L40="FM",H40,"")</f>
        <v/>
      </c>
      <c r="S40" s="33"/>
      <c r="T40" s="80" t="str">
        <f>IF(L40="FM",IF(J40="FM",$T$6*H40,""),"")</f>
        <v/>
      </c>
      <c r="U40" s="69" t="str">
        <f>IF(L40="FM",IF(J40="PMI",$U$6*H40,""),"")</f>
        <v/>
      </c>
      <c r="V40" s="69" t="str">
        <f>IF(L40="FM",IF(J40="OMVS",$V$6*H40,""),"")</f>
        <v/>
      </c>
      <c r="W40" s="112" t="str">
        <f>IF(L40="FM",IF(J40="AMF",$W$6*H40,""),"")</f>
        <v/>
      </c>
      <c r="X40" s="164" t="str">
        <f t="shared" si="33"/>
        <v/>
      </c>
      <c r="Z40" s="111">
        <f>IF(J40="PMI",H40,"")</f>
        <v>140090</v>
      </c>
      <c r="AA40" s="33"/>
      <c r="AB40" s="75">
        <f>IF(J40="PMI",$AB$6*Z40,"")</f>
        <v>367035.79999999993</v>
      </c>
      <c r="AC40" s="33"/>
      <c r="AD40" s="41">
        <f>IF(L40="PMI",H40,"")</f>
        <v>140090</v>
      </c>
      <c r="AE40" s="33"/>
      <c r="AF40" s="80" t="str">
        <f>IF(L40="PMI",IF(J40="FM",$AF$6*H40,""),"")</f>
        <v/>
      </c>
      <c r="AG40" s="69">
        <f>IF(L40="PMI",IF(J40="PMI",$AG$6*H40,""),"")</f>
        <v>105067.5</v>
      </c>
      <c r="AH40" s="112" t="str">
        <f>IF(L40="PMI",IF(J40="AMF",$AH$6*H40,""),"")</f>
        <v/>
      </c>
      <c r="AI40" s="164" t="str">
        <f t="shared" si="34"/>
        <v/>
      </c>
      <c r="AJ40" s="95"/>
      <c r="AK40" s="111" t="str">
        <f t="shared" si="35"/>
        <v/>
      </c>
      <c r="AL40" s="95"/>
      <c r="AM40" s="125" t="str">
        <f t="shared" si="4"/>
        <v/>
      </c>
      <c r="AN40" s="95"/>
      <c r="AO40" s="111" t="str">
        <f>IF(J40="AMF",H40,"")</f>
        <v/>
      </c>
      <c r="AP40" s="41"/>
      <c r="AQ40" s="41" t="str">
        <f>IF(J40="AMF",G40,"")</f>
        <v/>
      </c>
      <c r="AR40" s="41" t="str">
        <f t="shared" si="5"/>
        <v/>
      </c>
      <c r="AS40" s="41" t="str">
        <f>IF(AO40="","",AO40-AR40)</f>
        <v/>
      </c>
      <c r="AT40" s="131" t="str">
        <f t="shared" si="6"/>
        <v/>
      </c>
    </row>
    <row r="41" spans="2:46" ht="15.75" thickBot="1" x14ac:dyDescent="0.3">
      <c r="B41" s="257"/>
      <c r="C41" s="36" t="s">
        <v>111</v>
      </c>
      <c r="E41" s="60">
        <f>SUM(E36:E40)</f>
        <v>1462767</v>
      </c>
      <c r="F41" s="56">
        <f>SUM(F36:F40)</f>
        <v>812648.33333333337</v>
      </c>
      <c r="G41" s="56">
        <f>SUM(G36:G40)</f>
        <v>162529.66666666669</v>
      </c>
      <c r="H41" s="56">
        <f>SUM(H36:H40)</f>
        <v>975178</v>
      </c>
      <c r="I41" s="25"/>
      <c r="J41" s="43"/>
      <c r="K41" s="25"/>
      <c r="L41" s="38"/>
      <c r="N41" s="113">
        <f>SUM(N36:N40)</f>
        <v>554898.66666666674</v>
      </c>
      <c r="O41" s="33"/>
      <c r="P41" s="76">
        <f>SUM(P36:P40)</f>
        <v>1431638.56</v>
      </c>
      <c r="Q41" s="33"/>
      <c r="R41" s="37">
        <f>SUM(R36:R40)</f>
        <v>0</v>
      </c>
      <c r="S41" s="33"/>
      <c r="T41" s="81">
        <f t="shared" ref="T41:X41" si="36">SUM(T36:T40)</f>
        <v>0</v>
      </c>
      <c r="U41" s="19">
        <f t="shared" si="36"/>
        <v>0</v>
      </c>
      <c r="V41" s="19">
        <f t="shared" si="36"/>
        <v>0</v>
      </c>
      <c r="W41" s="114">
        <f t="shared" si="36"/>
        <v>0</v>
      </c>
      <c r="X41" s="165">
        <f t="shared" si="36"/>
        <v>0</v>
      </c>
      <c r="Z41" s="113">
        <f>SUM(Z36:Z40)</f>
        <v>420279.33333333331</v>
      </c>
      <c r="AA41" s="33"/>
      <c r="AB41" s="76">
        <f>SUM(AB36:AB40)</f>
        <v>1101131.853333333</v>
      </c>
      <c r="AC41" s="33"/>
      <c r="AD41" s="37">
        <f>SUM(AD36:AD40)</f>
        <v>975178</v>
      </c>
      <c r="AE41" s="33"/>
      <c r="AF41" s="81">
        <f t="shared" ref="AF41:AI41" si="37">SUM(AF36:AF40)</f>
        <v>416174</v>
      </c>
      <c r="AG41" s="19">
        <f t="shared" si="37"/>
        <v>315209.5</v>
      </c>
      <c r="AH41" s="114">
        <f t="shared" si="37"/>
        <v>0</v>
      </c>
      <c r="AI41" s="165">
        <f t="shared" si="37"/>
        <v>0</v>
      </c>
      <c r="AJ41" s="95"/>
      <c r="AK41" s="113">
        <f>SUM(AK36:AK40)</f>
        <v>0</v>
      </c>
      <c r="AL41" s="95"/>
      <c r="AM41" s="126">
        <f>SUM(AM36:AM40)</f>
        <v>0</v>
      </c>
      <c r="AN41" s="95"/>
      <c r="AO41" s="113">
        <f>SUM(AO36:AO40)</f>
        <v>0</v>
      </c>
      <c r="AP41" s="90"/>
      <c r="AQ41" s="37">
        <f>SUM(AQ36:AQ40)</f>
        <v>0</v>
      </c>
      <c r="AR41" s="37">
        <f>SUM(AR36:AR40)</f>
        <v>0</v>
      </c>
      <c r="AS41" s="37">
        <f>SUM(AS36:AS40)</f>
        <v>0</v>
      </c>
      <c r="AT41" s="132">
        <f>SUM(AT36:AT40)</f>
        <v>0</v>
      </c>
    </row>
    <row r="42" spans="2:46" x14ac:dyDescent="0.25">
      <c r="B42" s="257" t="s">
        <v>69</v>
      </c>
      <c r="C42" s="40" t="s">
        <v>70</v>
      </c>
      <c r="E42" s="59">
        <v>251465</v>
      </c>
      <c r="F42" s="54">
        <f>E42/$F$6</f>
        <v>139702.77777777778</v>
      </c>
      <c r="G42" s="54">
        <f>F42*$G$6</f>
        <v>27940.555555555558</v>
      </c>
      <c r="H42" s="54">
        <f t="shared" ref="H42:H44" si="38">F42+G42</f>
        <v>167643.33333333334</v>
      </c>
      <c r="I42" s="25"/>
      <c r="J42" s="66" t="s">
        <v>4</v>
      </c>
      <c r="K42" s="25"/>
      <c r="L42" s="63" t="s">
        <v>40</v>
      </c>
      <c r="N42" s="111" t="str">
        <f>IF(J42="FM",H42,"")</f>
        <v/>
      </c>
      <c r="O42" s="33"/>
      <c r="P42" s="75" t="str">
        <f>IF(J42="FM",$P$6*N42,"")</f>
        <v/>
      </c>
      <c r="Q42" s="33"/>
      <c r="R42" s="41">
        <f>IF(L42="FM",H42,"")</f>
        <v>167643.33333333334</v>
      </c>
      <c r="S42" s="33"/>
      <c r="T42" s="80" t="str">
        <f>IF(L42="FM",IF(J42="FM",$T$6*H42,""),"")</f>
        <v/>
      </c>
      <c r="U42" s="69" t="str">
        <f>IF(L42="FM",IF(J42="PMI",$U$6*H42,""),"")</f>
        <v/>
      </c>
      <c r="V42" s="69">
        <f>IF(L42="FM",IF(J42="OMVS",$V$6*H42,""),"")</f>
        <v>234700.66666666666</v>
      </c>
      <c r="W42" s="112" t="str">
        <f>IF(L42="FM",IF(J42="AMF",$W$6*H42,""),"")</f>
        <v/>
      </c>
      <c r="X42" s="164" t="str">
        <f t="shared" ref="X42:X44" si="39">IF(W42="","",W42*(0.2/1.2))</f>
        <v/>
      </c>
      <c r="Z42" s="111" t="str">
        <f>IF(J42="PMI",H42,"")</f>
        <v/>
      </c>
      <c r="AA42" s="33"/>
      <c r="AB42" s="75" t="str">
        <f>IF(J42="PMI",$AB$6*Z42,"")</f>
        <v/>
      </c>
      <c r="AC42" s="33"/>
      <c r="AD42" s="41" t="str">
        <f>IF(L42="PMI",H42,"")</f>
        <v/>
      </c>
      <c r="AE42" s="33"/>
      <c r="AF42" s="80" t="str">
        <f>IF(L42="PMI",IF(J42="FM",$AF$6*H42,""),"")</f>
        <v/>
      </c>
      <c r="AG42" s="69" t="str">
        <f>IF(L42="PMI",IF(J42="PMI",$AG$6*H42,""),"")</f>
        <v/>
      </c>
      <c r="AH42" s="112" t="str">
        <f>IF(L42="PMI",IF(J42="AMF",$AH$6*H42,""),"")</f>
        <v/>
      </c>
      <c r="AI42" s="164" t="str">
        <f t="shared" ref="AI42:AI44" si="40">IF(AH42="","",AH42*(0.2/1.2))</f>
        <v/>
      </c>
      <c r="AJ42" s="95"/>
      <c r="AK42" s="111">
        <f t="shared" ref="AK42:AK44" si="41">IF(J42="OMVS",H42,"")</f>
        <v>167643.33333333334</v>
      </c>
      <c r="AL42" s="95"/>
      <c r="AM42" s="125">
        <f t="shared" si="4"/>
        <v>432519.80000000005</v>
      </c>
      <c r="AN42" s="95"/>
      <c r="AO42" s="111" t="str">
        <f>IF(J42="AMF",H42,"")</f>
        <v/>
      </c>
      <c r="AP42" s="41"/>
      <c r="AQ42" s="41" t="str">
        <f>IF(J42="AMF",G42,"")</f>
        <v/>
      </c>
      <c r="AR42" s="41" t="str">
        <f t="shared" si="5"/>
        <v/>
      </c>
      <c r="AS42" s="41" t="str">
        <f>IF(AO42="","",AO42-AR42)</f>
        <v/>
      </c>
      <c r="AT42" s="131" t="str">
        <f t="shared" si="6"/>
        <v/>
      </c>
    </row>
    <row r="43" spans="2:46" x14ac:dyDescent="0.25">
      <c r="B43" s="257"/>
      <c r="C43" s="40" t="s">
        <v>71</v>
      </c>
      <c r="E43" s="59">
        <v>433152</v>
      </c>
      <c r="F43" s="54">
        <f>E43/$F$6</f>
        <v>240640</v>
      </c>
      <c r="G43" s="54">
        <f>F43*$G$6</f>
        <v>48128</v>
      </c>
      <c r="H43" s="54">
        <f t="shared" si="38"/>
        <v>288768</v>
      </c>
      <c r="I43" s="25"/>
      <c r="J43" s="66" t="s">
        <v>4</v>
      </c>
      <c r="K43" s="25"/>
      <c r="L43" s="63" t="s">
        <v>40</v>
      </c>
      <c r="N43" s="111" t="str">
        <f>IF(J43="FM",H43,"")</f>
        <v/>
      </c>
      <c r="O43" s="33"/>
      <c r="P43" s="77"/>
      <c r="Q43" s="33"/>
      <c r="R43" s="41">
        <f>IF(L43="FM",H43,"")</f>
        <v>288768</v>
      </c>
      <c r="S43" s="33"/>
      <c r="T43" s="80" t="str">
        <f>IF(L43="FM",IF(J43="FM",$T$6*H43,""),"")</f>
        <v/>
      </c>
      <c r="U43" s="69" t="str">
        <f>IF(L43="FM",IF(J43="PMI",$U$6*H43,""),"")</f>
        <v/>
      </c>
      <c r="V43" s="69">
        <f>IF(L43="FM",IF(J43="OMVS",$V$6*H43,""),"")</f>
        <v>404275.19999999995</v>
      </c>
      <c r="W43" s="112" t="str">
        <f>IF(L43="FM",IF(J43="AMF",$W$6*H43,""),"")</f>
        <v/>
      </c>
      <c r="X43" s="164" t="str">
        <f t="shared" si="39"/>
        <v/>
      </c>
      <c r="Z43" s="111" t="str">
        <f>IF(J43="PMI",H43,"")</f>
        <v/>
      </c>
      <c r="AA43" s="33"/>
      <c r="AB43" s="75" t="str">
        <f>IF(J43="PMI",$AB$6*Z43,"")</f>
        <v/>
      </c>
      <c r="AC43" s="33"/>
      <c r="AD43" s="41" t="str">
        <f>IF(L43="PMI",H43,"")</f>
        <v/>
      </c>
      <c r="AE43" s="33"/>
      <c r="AF43" s="80" t="str">
        <f>IF(L43="PMI",IF(J43="FM",$AF$6*H43,""),"")</f>
        <v/>
      </c>
      <c r="AG43" s="69" t="str">
        <f>IF(L43="PMI",IF(J43="PMI",$AG$6*H43,""),"")</f>
        <v/>
      </c>
      <c r="AH43" s="112" t="str">
        <f>IF(L43="PMI",IF(J43="AMF",$AH$6*H43,""),"")</f>
        <v/>
      </c>
      <c r="AI43" s="164" t="str">
        <f t="shared" si="40"/>
        <v/>
      </c>
      <c r="AJ43" s="95"/>
      <c r="AK43" s="111">
        <f t="shared" si="41"/>
        <v>288768</v>
      </c>
      <c r="AL43" s="95"/>
      <c r="AM43" s="125">
        <f t="shared" si="4"/>
        <v>745021.44000000006</v>
      </c>
      <c r="AN43" s="95"/>
      <c r="AO43" s="111" t="str">
        <f>IF(J43="AMF",H43,"")</f>
        <v/>
      </c>
      <c r="AP43" s="41"/>
      <c r="AQ43" s="41" t="str">
        <f>IF(J43="AMF",G43,"")</f>
        <v/>
      </c>
      <c r="AR43" s="41" t="str">
        <f t="shared" si="5"/>
        <v/>
      </c>
      <c r="AS43" s="41" t="str">
        <f>IF(AO43="","",AO43-AR43)</f>
        <v/>
      </c>
      <c r="AT43" s="131" t="str">
        <f t="shared" si="6"/>
        <v/>
      </c>
    </row>
    <row r="44" spans="2:46" ht="15.75" thickBot="1" x14ac:dyDescent="0.3">
      <c r="B44" s="257"/>
      <c r="C44" s="40" t="s">
        <v>72</v>
      </c>
      <c r="E44" s="59">
        <v>440327</v>
      </c>
      <c r="F44" s="54">
        <f>E44/$F$6</f>
        <v>244626.11111111109</v>
      </c>
      <c r="G44" s="54">
        <f>F44*$G$6</f>
        <v>48925.222222222219</v>
      </c>
      <c r="H44" s="54">
        <f t="shared" si="38"/>
        <v>293551.33333333331</v>
      </c>
      <c r="I44" s="25"/>
      <c r="J44" s="63" t="s">
        <v>40</v>
      </c>
      <c r="K44" s="25"/>
      <c r="L44" s="63" t="s">
        <v>40</v>
      </c>
      <c r="N44" s="111">
        <f>IF(J44="FM",H44,"")</f>
        <v>293551.33333333331</v>
      </c>
      <c r="O44" s="33"/>
      <c r="P44" s="75">
        <f>IF(J44="FM",$P$6*N44,"")</f>
        <v>757362.44</v>
      </c>
      <c r="Q44" s="33"/>
      <c r="R44" s="41">
        <f>IF(L44="FM",H44,"")</f>
        <v>293551.33333333331</v>
      </c>
      <c r="S44" s="33"/>
      <c r="T44" s="80">
        <f>IF(L44="FM",IF(J44="FM",$T$6*H44,""),"")</f>
        <v>410971.86666666664</v>
      </c>
      <c r="U44" s="69" t="str">
        <f>IF(L44="FM",IF(J44="PMI",$U$6*H44,""),"")</f>
        <v/>
      </c>
      <c r="V44" s="69" t="str">
        <f>IF(L44="FM",IF(J44="OMVS",$V$6*H44,""),"")</f>
        <v/>
      </c>
      <c r="W44" s="112" t="str">
        <f>IF(L44="FM",IF(J44="AMF",$W$6*H44,""),"")</f>
        <v/>
      </c>
      <c r="X44" s="164" t="str">
        <f t="shared" si="39"/>
        <v/>
      </c>
      <c r="Z44" s="111" t="str">
        <f>IF(J44="PMI",H44,"")</f>
        <v/>
      </c>
      <c r="AA44" s="33"/>
      <c r="AB44" s="75" t="str">
        <f>IF(J44="PMI",$AB$6*Z44,"")</f>
        <v/>
      </c>
      <c r="AC44" s="33"/>
      <c r="AD44" s="41" t="str">
        <f>IF(L44="PMI",H44,"")</f>
        <v/>
      </c>
      <c r="AE44" s="33"/>
      <c r="AF44" s="80" t="str">
        <f>IF(L44="PMI",IF(J44="FM",$AF$6*H44,""),"")</f>
        <v/>
      </c>
      <c r="AG44" s="69" t="str">
        <f>IF(L44="PMI",IF(J44="PMI",$AG$6*H44,""),"")</f>
        <v/>
      </c>
      <c r="AH44" s="112" t="str">
        <f>IF(L44="PMI",IF(J44="AMF",$AH$6*H44,""),"")</f>
        <v/>
      </c>
      <c r="AI44" s="164" t="str">
        <f t="shared" si="40"/>
        <v/>
      </c>
      <c r="AJ44" s="95"/>
      <c r="AK44" s="111" t="str">
        <f t="shared" si="41"/>
        <v/>
      </c>
      <c r="AL44" s="95"/>
      <c r="AM44" s="125" t="str">
        <f t="shared" si="4"/>
        <v/>
      </c>
      <c r="AN44" s="95"/>
      <c r="AO44" s="111" t="str">
        <f>IF(J44="AMF",H44,"")</f>
        <v/>
      </c>
      <c r="AP44" s="41"/>
      <c r="AQ44" s="41" t="str">
        <f>IF(J44="AMF",G44,"")</f>
        <v/>
      </c>
      <c r="AR44" s="41" t="str">
        <f t="shared" si="5"/>
        <v/>
      </c>
      <c r="AS44" s="41" t="str">
        <f>IF(AO44="","",AO44-AR44)</f>
        <v/>
      </c>
      <c r="AT44" s="131" t="str">
        <f t="shared" si="6"/>
        <v/>
      </c>
    </row>
    <row r="45" spans="2:46" ht="15.75" thickBot="1" x14ac:dyDescent="0.3">
      <c r="B45" s="257"/>
      <c r="C45" s="36" t="s">
        <v>111</v>
      </c>
      <c r="E45" s="55">
        <f>SUM(E42:E44)</f>
        <v>1124944</v>
      </c>
      <c r="F45" s="56">
        <f>SUM(F42:F44)</f>
        <v>624968.88888888888</v>
      </c>
      <c r="G45" s="56">
        <f>SUM(G42:G44)</f>
        <v>124993.77777777778</v>
      </c>
      <c r="H45" s="56">
        <f>SUM(H42:H44)</f>
        <v>749962.66666666674</v>
      </c>
      <c r="I45" s="25"/>
      <c r="J45" s="38"/>
      <c r="K45" s="25"/>
      <c r="L45" s="38"/>
      <c r="N45" s="113">
        <f>SUM(N42:N44)</f>
        <v>293551.33333333331</v>
      </c>
      <c r="O45" s="33"/>
      <c r="P45" s="76">
        <f>SUM(P42:P44)</f>
        <v>757362.44</v>
      </c>
      <c r="Q45" s="33"/>
      <c r="R45" s="37">
        <f>SUM(R42:R44)</f>
        <v>749962.66666666674</v>
      </c>
      <c r="S45" s="33"/>
      <c r="T45" s="81">
        <f t="shared" ref="T45:X45" si="42">SUM(T42:T44)</f>
        <v>410971.86666666664</v>
      </c>
      <c r="U45" s="19">
        <f t="shared" si="42"/>
        <v>0</v>
      </c>
      <c r="V45" s="19">
        <f t="shared" si="42"/>
        <v>638975.86666666658</v>
      </c>
      <c r="W45" s="114">
        <f t="shared" si="42"/>
        <v>0</v>
      </c>
      <c r="X45" s="165">
        <f t="shared" si="42"/>
        <v>0</v>
      </c>
      <c r="Z45" s="113">
        <f>SUM(Z42:Z44)</f>
        <v>0</v>
      </c>
      <c r="AA45" s="33"/>
      <c r="AB45" s="76">
        <f>SUM(AB42:AB44)</f>
        <v>0</v>
      </c>
      <c r="AC45" s="33"/>
      <c r="AD45" s="37">
        <f>SUM(AD42:AD44)</f>
        <v>0</v>
      </c>
      <c r="AE45" s="33"/>
      <c r="AF45" s="81">
        <f t="shared" ref="AF45:AI45" si="43">SUM(AF42:AF44)</f>
        <v>0</v>
      </c>
      <c r="AG45" s="19">
        <f t="shared" si="43"/>
        <v>0</v>
      </c>
      <c r="AH45" s="114">
        <f t="shared" si="43"/>
        <v>0</v>
      </c>
      <c r="AI45" s="165">
        <f t="shared" si="43"/>
        <v>0</v>
      </c>
      <c r="AJ45" s="95"/>
      <c r="AK45" s="113">
        <f>SUM(AK42:AK44)</f>
        <v>456411.33333333337</v>
      </c>
      <c r="AL45" s="95"/>
      <c r="AM45" s="126">
        <f>SUM(AM42:AM44)</f>
        <v>1177541.2400000002</v>
      </c>
      <c r="AN45" s="95"/>
      <c r="AO45" s="113">
        <f>SUM(AO42:AO44)</f>
        <v>0</v>
      </c>
      <c r="AP45" s="90"/>
      <c r="AQ45" s="37">
        <f>SUM(AQ42:AQ44)</f>
        <v>0</v>
      </c>
      <c r="AR45" s="37">
        <f>SUM(AR42:AR44)</f>
        <v>0</v>
      </c>
      <c r="AS45" s="37">
        <f>SUM(AS42:AS44)</f>
        <v>0</v>
      </c>
      <c r="AT45" s="132">
        <f>SUM(AT42:AT44)</f>
        <v>0</v>
      </c>
    </row>
    <row r="46" spans="2:46" x14ac:dyDescent="0.25">
      <c r="B46" s="279" t="s">
        <v>74</v>
      </c>
      <c r="C46" s="40" t="s">
        <v>75</v>
      </c>
      <c r="E46" s="53">
        <v>295827</v>
      </c>
      <c r="F46" s="54">
        <f t="shared" ref="F46:F51" si="44">E46/$F$6</f>
        <v>164348.33333333334</v>
      </c>
      <c r="G46" s="54">
        <f t="shared" ref="G46:G51" si="45">F46*$G$6</f>
        <v>32869.666666666672</v>
      </c>
      <c r="H46" s="54">
        <f t="shared" ref="H46:H51" si="46">F46+G46</f>
        <v>197218</v>
      </c>
      <c r="I46" s="25"/>
      <c r="J46" s="61" t="s">
        <v>1</v>
      </c>
      <c r="K46" s="25"/>
      <c r="L46" s="63" t="s">
        <v>40</v>
      </c>
      <c r="N46" s="111" t="str">
        <f t="shared" ref="N46:N51" si="47">IF(J46="FM",H46,"")</f>
        <v/>
      </c>
      <c r="O46" s="33"/>
      <c r="P46" s="75" t="str">
        <f t="shared" ref="P46:P51" si="48">IF(J46="FM",$P$6*N46,"")</f>
        <v/>
      </c>
      <c r="Q46" s="33"/>
      <c r="R46" s="41">
        <f t="shared" ref="R46:R51" si="49">IF(L46="FM",H46,"")</f>
        <v>197218</v>
      </c>
      <c r="S46" s="33"/>
      <c r="T46" s="80" t="str">
        <f t="shared" ref="T46:T51" si="50">IF(L46="FM",IF(J46="FM",$T$6*H46,""),"")</f>
        <v/>
      </c>
      <c r="U46" s="69" t="str">
        <f t="shared" ref="U46:U51" si="51">IF(L46="FM",IF(J46="PMI",$U$6*H46,""),"")</f>
        <v/>
      </c>
      <c r="V46" s="69" t="str">
        <f t="shared" ref="V46:V51" si="52">IF(L46="FM",IF(J46="OMVS",$V$6*H46,""),"")</f>
        <v/>
      </c>
      <c r="W46" s="112">
        <f t="shared" ref="W46:W51" si="53">IF(L46="FM",IF(J46="AMF",$W$6*H46,""),"")</f>
        <v>356964.57999999996</v>
      </c>
      <c r="X46" s="164">
        <f t="shared" ref="X46:X51" si="54">IF(W46="","",W46*(0.2/1.2))</f>
        <v>59494.096666666665</v>
      </c>
      <c r="Z46" s="111" t="str">
        <f t="shared" ref="Z46:Z51" si="55">IF(J46="PMI",H46,"")</f>
        <v/>
      </c>
      <c r="AA46" s="33"/>
      <c r="AB46" s="75" t="str">
        <f t="shared" ref="AB46:AB51" si="56">IF(J46="PMI",$AB$6*Z46,"")</f>
        <v/>
      </c>
      <c r="AC46" s="33"/>
      <c r="AD46" s="41" t="str">
        <f t="shared" ref="AD46:AD51" si="57">IF(L46="PMI",H46,"")</f>
        <v/>
      </c>
      <c r="AE46" s="33"/>
      <c r="AF46" s="80" t="str">
        <f t="shared" ref="AF46:AF51" si="58">IF(L46="PMI",IF(J46="FM",$AF$6*H46,""),"")</f>
        <v/>
      </c>
      <c r="AG46" s="69" t="str">
        <f t="shared" ref="AG46:AG51" si="59">IF(L46="PMI",IF(J46="PMI",$AG$6*H46,""),"")</f>
        <v/>
      </c>
      <c r="AH46" s="112" t="str">
        <f t="shared" ref="AH46:AH51" si="60">IF(L46="PMI",IF(J46="AMF",$AH$6*H46,""),"")</f>
        <v/>
      </c>
      <c r="AI46" s="164" t="str">
        <f t="shared" ref="AI46:AI51" si="61">IF(AH46="","",AH46*(0.2/1.2))</f>
        <v/>
      </c>
      <c r="AJ46" s="95"/>
      <c r="AK46" s="111" t="str">
        <f t="shared" ref="AK46:AK51" si="62">IF(J46="OMVS",H46,"")</f>
        <v/>
      </c>
      <c r="AL46" s="95"/>
      <c r="AM46" s="125" t="str">
        <f t="shared" si="4"/>
        <v/>
      </c>
      <c r="AN46" s="95"/>
      <c r="AO46" s="111">
        <f t="shared" ref="AO46:AO51" si="63">IF(J46="AMF",F46,"")</f>
        <v>164348.33333333334</v>
      </c>
      <c r="AP46" s="41"/>
      <c r="AQ46" s="41">
        <f t="shared" ref="AQ46:AQ51" si="64">IF(J46="AMF",G46,"")</f>
        <v>32869.666666666672</v>
      </c>
      <c r="AR46" s="41">
        <f t="shared" si="5"/>
        <v>147913.5</v>
      </c>
      <c r="AS46" s="41">
        <f t="shared" ref="AS46:AS51" si="65">IF(AO46="","",AO46-AR46)</f>
        <v>16434.833333333343</v>
      </c>
      <c r="AT46" s="131">
        <f t="shared" si="6"/>
        <v>49304.500000000015</v>
      </c>
    </row>
    <row r="47" spans="2:46" x14ac:dyDescent="0.25">
      <c r="B47" s="279"/>
      <c r="C47" s="40" t="s">
        <v>76</v>
      </c>
      <c r="E47" s="53">
        <v>640726</v>
      </c>
      <c r="F47" s="54">
        <f t="shared" si="44"/>
        <v>355958.88888888888</v>
      </c>
      <c r="G47" s="54">
        <f t="shared" si="45"/>
        <v>71191.777777777781</v>
      </c>
      <c r="H47" s="54">
        <f t="shared" si="46"/>
        <v>427150.66666666663</v>
      </c>
      <c r="I47" s="25"/>
      <c r="J47" s="61" t="s">
        <v>1</v>
      </c>
      <c r="K47" s="25"/>
      <c r="L47" s="63" t="s">
        <v>40</v>
      </c>
      <c r="N47" s="111" t="str">
        <f t="shared" si="47"/>
        <v/>
      </c>
      <c r="O47" s="33"/>
      <c r="P47" s="75" t="str">
        <f t="shared" si="48"/>
        <v/>
      </c>
      <c r="Q47" s="33"/>
      <c r="R47" s="41">
        <f t="shared" si="49"/>
        <v>427150.66666666663</v>
      </c>
      <c r="S47" s="33"/>
      <c r="T47" s="80" t="str">
        <f t="shared" si="50"/>
        <v/>
      </c>
      <c r="U47" s="69" t="str">
        <f t="shared" si="51"/>
        <v/>
      </c>
      <c r="V47" s="69" t="str">
        <f t="shared" si="52"/>
        <v/>
      </c>
      <c r="W47" s="112">
        <f t="shared" si="53"/>
        <v>773142.70666666655</v>
      </c>
      <c r="X47" s="164">
        <f t="shared" si="54"/>
        <v>128857.11777777778</v>
      </c>
      <c r="Z47" s="111" t="str">
        <f t="shared" si="55"/>
        <v/>
      </c>
      <c r="AA47" s="33"/>
      <c r="AB47" s="75" t="str">
        <f t="shared" si="56"/>
        <v/>
      </c>
      <c r="AC47" s="33"/>
      <c r="AD47" s="41" t="str">
        <f t="shared" si="57"/>
        <v/>
      </c>
      <c r="AE47" s="33"/>
      <c r="AF47" s="80" t="str">
        <f t="shared" si="58"/>
        <v/>
      </c>
      <c r="AG47" s="69" t="str">
        <f t="shared" si="59"/>
        <v/>
      </c>
      <c r="AH47" s="112" t="str">
        <f t="shared" si="60"/>
        <v/>
      </c>
      <c r="AI47" s="164" t="str">
        <f t="shared" si="61"/>
        <v/>
      </c>
      <c r="AJ47" s="95"/>
      <c r="AK47" s="111" t="str">
        <f t="shared" si="62"/>
        <v/>
      </c>
      <c r="AL47" s="95"/>
      <c r="AM47" s="125" t="str">
        <f t="shared" si="4"/>
        <v/>
      </c>
      <c r="AN47" s="95"/>
      <c r="AO47" s="111">
        <f t="shared" si="63"/>
        <v>355958.88888888888</v>
      </c>
      <c r="AP47" s="41"/>
      <c r="AQ47" s="41">
        <f t="shared" si="64"/>
        <v>71191.777777777781</v>
      </c>
      <c r="AR47" s="41">
        <f t="shared" si="5"/>
        <v>320363</v>
      </c>
      <c r="AS47" s="41">
        <f t="shared" si="65"/>
        <v>35595.888888888876</v>
      </c>
      <c r="AT47" s="131">
        <f t="shared" si="6"/>
        <v>106787.66666666666</v>
      </c>
    </row>
    <row r="48" spans="2:46" x14ac:dyDescent="0.25">
      <c r="B48" s="279"/>
      <c r="C48" s="40" t="s">
        <v>77</v>
      </c>
      <c r="E48" s="53">
        <v>282538</v>
      </c>
      <c r="F48" s="54">
        <f t="shared" si="44"/>
        <v>156965.55555555556</v>
      </c>
      <c r="G48" s="54">
        <f t="shared" si="45"/>
        <v>31393.111111111113</v>
      </c>
      <c r="H48" s="54">
        <f t="shared" si="46"/>
        <v>188358.66666666669</v>
      </c>
      <c r="I48" s="25"/>
      <c r="J48" s="61" t="s">
        <v>1</v>
      </c>
      <c r="K48" s="25"/>
      <c r="L48" s="63" t="s">
        <v>40</v>
      </c>
      <c r="N48" s="111" t="str">
        <f t="shared" si="47"/>
        <v/>
      </c>
      <c r="O48" s="33"/>
      <c r="P48" s="75" t="str">
        <f t="shared" si="48"/>
        <v/>
      </c>
      <c r="Q48" s="33"/>
      <c r="R48" s="41">
        <f t="shared" si="49"/>
        <v>188358.66666666669</v>
      </c>
      <c r="S48" s="33"/>
      <c r="T48" s="80" t="str">
        <f t="shared" si="50"/>
        <v/>
      </c>
      <c r="U48" s="69" t="str">
        <f t="shared" si="51"/>
        <v/>
      </c>
      <c r="V48" s="69" t="str">
        <f t="shared" si="52"/>
        <v/>
      </c>
      <c r="W48" s="112">
        <f t="shared" si="53"/>
        <v>340929.18666666665</v>
      </c>
      <c r="X48" s="164">
        <f t="shared" si="54"/>
        <v>56821.531111111115</v>
      </c>
      <c r="Z48" s="111" t="str">
        <f t="shared" si="55"/>
        <v/>
      </c>
      <c r="AA48" s="33"/>
      <c r="AB48" s="75" t="str">
        <f t="shared" si="56"/>
        <v/>
      </c>
      <c r="AC48" s="33"/>
      <c r="AD48" s="41" t="str">
        <f t="shared" si="57"/>
        <v/>
      </c>
      <c r="AE48" s="33"/>
      <c r="AF48" s="80" t="str">
        <f t="shared" si="58"/>
        <v/>
      </c>
      <c r="AG48" s="69" t="str">
        <f t="shared" si="59"/>
        <v/>
      </c>
      <c r="AH48" s="112" t="str">
        <f t="shared" si="60"/>
        <v/>
      </c>
      <c r="AI48" s="164" t="str">
        <f t="shared" si="61"/>
        <v/>
      </c>
      <c r="AJ48" s="95"/>
      <c r="AK48" s="111" t="str">
        <f t="shared" si="62"/>
        <v/>
      </c>
      <c r="AL48" s="95"/>
      <c r="AM48" s="125" t="str">
        <f t="shared" si="4"/>
        <v/>
      </c>
      <c r="AN48" s="95"/>
      <c r="AO48" s="111">
        <f t="shared" si="63"/>
        <v>156965.55555555556</v>
      </c>
      <c r="AP48" s="41"/>
      <c r="AQ48" s="41">
        <f t="shared" si="64"/>
        <v>31393.111111111113</v>
      </c>
      <c r="AR48" s="41">
        <f t="shared" si="5"/>
        <v>141269</v>
      </c>
      <c r="AS48" s="41">
        <f t="shared" si="65"/>
        <v>15696.555555555562</v>
      </c>
      <c r="AT48" s="131">
        <f t="shared" si="6"/>
        <v>47089.666666666672</v>
      </c>
    </row>
    <row r="49" spans="2:46" x14ac:dyDescent="0.25">
      <c r="B49" s="279"/>
      <c r="C49" s="40" t="s">
        <v>78</v>
      </c>
      <c r="E49" s="53">
        <v>512772</v>
      </c>
      <c r="F49" s="54">
        <f t="shared" si="44"/>
        <v>284873.33333333331</v>
      </c>
      <c r="G49" s="54">
        <f t="shared" si="45"/>
        <v>56974.666666666664</v>
      </c>
      <c r="H49" s="54">
        <f t="shared" si="46"/>
        <v>341848</v>
      </c>
      <c r="I49" s="25"/>
      <c r="J49" s="61" t="s">
        <v>1</v>
      </c>
      <c r="K49" s="25"/>
      <c r="L49" s="63" t="s">
        <v>40</v>
      </c>
      <c r="N49" s="111" t="str">
        <f t="shared" si="47"/>
        <v/>
      </c>
      <c r="O49" s="33"/>
      <c r="P49" s="75" t="str">
        <f t="shared" si="48"/>
        <v/>
      </c>
      <c r="Q49" s="33"/>
      <c r="R49" s="41">
        <f t="shared" si="49"/>
        <v>341848</v>
      </c>
      <c r="S49" s="33"/>
      <c r="T49" s="80" t="str">
        <f t="shared" si="50"/>
        <v/>
      </c>
      <c r="U49" s="69" t="str">
        <f t="shared" si="51"/>
        <v/>
      </c>
      <c r="V49" s="69" t="str">
        <f t="shared" si="52"/>
        <v/>
      </c>
      <c r="W49" s="112">
        <f t="shared" si="53"/>
        <v>618744.87999999989</v>
      </c>
      <c r="X49" s="164">
        <f t="shared" si="54"/>
        <v>103124.14666666665</v>
      </c>
      <c r="Z49" s="111" t="str">
        <f t="shared" si="55"/>
        <v/>
      </c>
      <c r="AA49" s="33"/>
      <c r="AB49" s="75" t="str">
        <f t="shared" si="56"/>
        <v/>
      </c>
      <c r="AC49" s="33"/>
      <c r="AD49" s="41" t="str">
        <f t="shared" si="57"/>
        <v/>
      </c>
      <c r="AE49" s="33"/>
      <c r="AF49" s="80" t="str">
        <f t="shared" si="58"/>
        <v/>
      </c>
      <c r="AG49" s="69" t="str">
        <f t="shared" si="59"/>
        <v/>
      </c>
      <c r="AH49" s="112" t="str">
        <f t="shared" si="60"/>
        <v/>
      </c>
      <c r="AI49" s="164" t="str">
        <f t="shared" si="61"/>
        <v/>
      </c>
      <c r="AJ49" s="95"/>
      <c r="AK49" s="111" t="str">
        <f t="shared" si="62"/>
        <v/>
      </c>
      <c r="AL49" s="95"/>
      <c r="AM49" s="125" t="str">
        <f t="shared" si="4"/>
        <v/>
      </c>
      <c r="AN49" s="95"/>
      <c r="AO49" s="111">
        <f t="shared" si="63"/>
        <v>284873.33333333331</v>
      </c>
      <c r="AP49" s="41"/>
      <c r="AQ49" s="41">
        <f t="shared" si="64"/>
        <v>56974.666666666664</v>
      </c>
      <c r="AR49" s="41">
        <f t="shared" si="5"/>
        <v>256386</v>
      </c>
      <c r="AS49" s="41">
        <f t="shared" si="65"/>
        <v>28487.333333333314</v>
      </c>
      <c r="AT49" s="131">
        <f t="shared" si="6"/>
        <v>85461.999999999971</v>
      </c>
    </row>
    <row r="50" spans="2:46" x14ac:dyDescent="0.25">
      <c r="B50" s="279"/>
      <c r="C50" s="40" t="s">
        <v>79</v>
      </c>
      <c r="E50" s="53">
        <v>518521</v>
      </c>
      <c r="F50" s="54">
        <f t="shared" si="44"/>
        <v>288067.22222222219</v>
      </c>
      <c r="G50" s="54">
        <f t="shared" si="45"/>
        <v>57613.444444444438</v>
      </c>
      <c r="H50" s="54">
        <f t="shared" si="46"/>
        <v>345680.66666666663</v>
      </c>
      <c r="I50" s="25"/>
      <c r="J50" s="61" t="s">
        <v>1</v>
      </c>
      <c r="K50" s="25"/>
      <c r="L50" s="63" t="s">
        <v>40</v>
      </c>
      <c r="N50" s="111" t="str">
        <f t="shared" si="47"/>
        <v/>
      </c>
      <c r="O50" s="33"/>
      <c r="P50" s="75" t="str">
        <f t="shared" si="48"/>
        <v/>
      </c>
      <c r="Q50" s="33"/>
      <c r="R50" s="41">
        <f t="shared" si="49"/>
        <v>345680.66666666663</v>
      </c>
      <c r="S50" s="33"/>
      <c r="T50" s="80" t="str">
        <f t="shared" si="50"/>
        <v/>
      </c>
      <c r="U50" s="69" t="str">
        <f t="shared" si="51"/>
        <v/>
      </c>
      <c r="V50" s="69" t="str">
        <f t="shared" si="52"/>
        <v/>
      </c>
      <c r="W50" s="112">
        <f t="shared" si="53"/>
        <v>625682.0066666666</v>
      </c>
      <c r="X50" s="164">
        <f t="shared" si="54"/>
        <v>104280.33444444444</v>
      </c>
      <c r="Z50" s="111" t="str">
        <f t="shared" si="55"/>
        <v/>
      </c>
      <c r="AA50" s="33"/>
      <c r="AB50" s="75" t="str">
        <f t="shared" si="56"/>
        <v/>
      </c>
      <c r="AC50" s="33"/>
      <c r="AD50" s="41" t="str">
        <f t="shared" si="57"/>
        <v/>
      </c>
      <c r="AE50" s="33"/>
      <c r="AF50" s="80" t="str">
        <f t="shared" si="58"/>
        <v/>
      </c>
      <c r="AG50" s="69" t="str">
        <f t="shared" si="59"/>
        <v/>
      </c>
      <c r="AH50" s="112" t="str">
        <f t="shared" si="60"/>
        <v/>
      </c>
      <c r="AI50" s="164" t="str">
        <f t="shared" si="61"/>
        <v/>
      </c>
      <c r="AJ50" s="95"/>
      <c r="AK50" s="111" t="str">
        <f t="shared" si="62"/>
        <v/>
      </c>
      <c r="AL50" s="95"/>
      <c r="AM50" s="125" t="str">
        <f t="shared" si="4"/>
        <v/>
      </c>
      <c r="AN50" s="95"/>
      <c r="AO50" s="111">
        <f t="shared" si="63"/>
        <v>288067.22222222219</v>
      </c>
      <c r="AP50" s="41"/>
      <c r="AQ50" s="41">
        <f t="shared" si="64"/>
        <v>57613.444444444438</v>
      </c>
      <c r="AR50" s="41">
        <f t="shared" si="5"/>
        <v>259260.49999999997</v>
      </c>
      <c r="AS50" s="41">
        <f t="shared" si="65"/>
        <v>28806.722222222219</v>
      </c>
      <c r="AT50" s="131">
        <f t="shared" si="6"/>
        <v>86420.166666666657</v>
      </c>
    </row>
    <row r="51" spans="2:46" ht="15.75" thickBot="1" x14ac:dyDescent="0.3">
      <c r="B51" s="279"/>
      <c r="C51" s="40" t="s">
        <v>80</v>
      </c>
      <c r="E51" s="53">
        <v>236418</v>
      </c>
      <c r="F51" s="54">
        <f t="shared" si="44"/>
        <v>131343.33333333334</v>
      </c>
      <c r="G51" s="54">
        <f t="shared" si="45"/>
        <v>26268.666666666672</v>
      </c>
      <c r="H51" s="54">
        <f t="shared" si="46"/>
        <v>157612</v>
      </c>
      <c r="I51" s="25"/>
      <c r="J51" s="93" t="s">
        <v>1</v>
      </c>
      <c r="K51" s="25"/>
      <c r="L51" s="94" t="s">
        <v>40</v>
      </c>
      <c r="N51" s="111" t="str">
        <f t="shared" si="47"/>
        <v/>
      </c>
      <c r="O51" s="33"/>
      <c r="P51" s="75" t="str">
        <f t="shared" si="48"/>
        <v/>
      </c>
      <c r="Q51" s="33"/>
      <c r="R51" s="41">
        <f t="shared" si="49"/>
        <v>157612</v>
      </c>
      <c r="S51" s="33"/>
      <c r="T51" s="80" t="str">
        <f t="shared" si="50"/>
        <v/>
      </c>
      <c r="U51" s="69" t="str">
        <f t="shared" si="51"/>
        <v/>
      </c>
      <c r="V51" s="69" t="str">
        <f t="shared" si="52"/>
        <v/>
      </c>
      <c r="W51" s="112">
        <f t="shared" si="53"/>
        <v>285277.71999999997</v>
      </c>
      <c r="X51" s="164">
        <f t="shared" si="54"/>
        <v>47546.286666666667</v>
      </c>
      <c r="Z51" s="111" t="str">
        <f t="shared" si="55"/>
        <v/>
      </c>
      <c r="AA51" s="33"/>
      <c r="AB51" s="75" t="str">
        <f t="shared" si="56"/>
        <v/>
      </c>
      <c r="AC51" s="33"/>
      <c r="AD51" s="41" t="str">
        <f t="shared" si="57"/>
        <v/>
      </c>
      <c r="AE51" s="33"/>
      <c r="AF51" s="80" t="str">
        <f t="shared" si="58"/>
        <v/>
      </c>
      <c r="AG51" s="69" t="str">
        <f t="shared" si="59"/>
        <v/>
      </c>
      <c r="AH51" s="112" t="str">
        <f t="shared" si="60"/>
        <v/>
      </c>
      <c r="AI51" s="164" t="str">
        <f t="shared" si="61"/>
        <v/>
      </c>
      <c r="AJ51" s="95"/>
      <c r="AK51" s="111" t="str">
        <f t="shared" si="62"/>
        <v/>
      </c>
      <c r="AL51" s="95"/>
      <c r="AM51" s="125" t="str">
        <f t="shared" si="4"/>
        <v/>
      </c>
      <c r="AN51" s="95"/>
      <c r="AO51" s="111">
        <f t="shared" si="63"/>
        <v>131343.33333333334</v>
      </c>
      <c r="AP51" s="41"/>
      <c r="AQ51" s="41">
        <f t="shared" si="64"/>
        <v>26268.666666666672</v>
      </c>
      <c r="AR51" s="41">
        <f t="shared" si="5"/>
        <v>118209.00000000001</v>
      </c>
      <c r="AS51" s="41">
        <f t="shared" si="65"/>
        <v>13134.333333333328</v>
      </c>
      <c r="AT51" s="131">
        <f t="shared" si="6"/>
        <v>39403</v>
      </c>
    </row>
    <row r="52" spans="2:46" ht="15.75" thickBot="1" x14ac:dyDescent="0.3">
      <c r="B52" s="279"/>
      <c r="C52" s="36" t="s">
        <v>111</v>
      </c>
      <c r="E52" s="55">
        <f>SUM(E46:E51)</f>
        <v>2486802</v>
      </c>
      <c r="F52" s="56">
        <f>SUM(F46:F51)</f>
        <v>1381556.6666666665</v>
      </c>
      <c r="G52" s="56">
        <f>SUM(G46:G51)</f>
        <v>276311.33333333331</v>
      </c>
      <c r="H52" s="56">
        <f>SUM(H46:H51)</f>
        <v>1657868</v>
      </c>
      <c r="I52" s="25"/>
      <c r="J52" s="25"/>
      <c r="K52" s="25"/>
      <c r="L52" s="25"/>
      <c r="N52" s="113">
        <f>SUM(N46:N51)</f>
        <v>0</v>
      </c>
      <c r="O52" s="33"/>
      <c r="P52" s="76">
        <f>SUM(P46:P51)</f>
        <v>0</v>
      </c>
      <c r="Q52" s="33"/>
      <c r="R52" s="37">
        <f>SUM(R46:R51)</f>
        <v>1657868</v>
      </c>
      <c r="S52" s="33"/>
      <c r="T52" s="81"/>
      <c r="U52" s="19">
        <f>SUM(U46:U51)</f>
        <v>0</v>
      </c>
      <c r="V52" s="19"/>
      <c r="W52" s="114">
        <f>SUM(W46:W51)</f>
        <v>3000741.0799999991</v>
      </c>
      <c r="X52" s="165">
        <f>SUM(X46:X51)</f>
        <v>500123.51333333337</v>
      </c>
      <c r="Z52" s="113">
        <f>SUM(Z46:Z51)</f>
        <v>0</v>
      </c>
      <c r="AA52" s="33"/>
      <c r="AB52" s="76">
        <f>SUM(AB46:AB51)</f>
        <v>0</v>
      </c>
      <c r="AC52" s="33"/>
      <c r="AD52" s="37">
        <f>SUM(AD46:AD51)</f>
        <v>0</v>
      </c>
      <c r="AE52" s="33"/>
      <c r="AF52" s="81"/>
      <c r="AG52" s="19">
        <f>SUM(AG46:AG51)</f>
        <v>0</v>
      </c>
      <c r="AH52" s="114">
        <f>SUM(AH46:AH51)</f>
        <v>0</v>
      </c>
      <c r="AI52" s="165">
        <f>SUM(AI46:AI51)</f>
        <v>0</v>
      </c>
      <c r="AJ52" s="95"/>
      <c r="AK52" s="113">
        <f>SUM(AK46:AK51)</f>
        <v>0</v>
      </c>
      <c r="AL52" s="95"/>
      <c r="AM52" s="126">
        <f>SUM(AM46:AM51)</f>
        <v>0</v>
      </c>
      <c r="AN52" s="95"/>
      <c r="AO52" s="113">
        <f>SUM(AO46:AO51)</f>
        <v>1381556.6666666665</v>
      </c>
      <c r="AP52" s="90"/>
      <c r="AQ52" s="37">
        <f>SUM(AQ46:AQ51)</f>
        <v>276311.33333333331</v>
      </c>
      <c r="AR52" s="37">
        <f>SUM(AR46:AR51)</f>
        <v>1243401</v>
      </c>
      <c r="AS52" s="37">
        <f>SUM(AS46:AS51)</f>
        <v>138155.66666666663</v>
      </c>
      <c r="AT52" s="132">
        <f>SUM(AT46:AT51)</f>
        <v>414467</v>
      </c>
    </row>
    <row r="53" spans="2:46" ht="15.75" thickBot="1" x14ac:dyDescent="0.3">
      <c r="B53" s="48"/>
      <c r="C53" s="39" t="s">
        <v>82</v>
      </c>
      <c r="E53" s="55">
        <f>SUM(E52,E45,E41,E35,E29,E23,E18,E12)</f>
        <v>13236235</v>
      </c>
      <c r="F53" s="56">
        <f>F52+F45+F41+F35+F29+F23+F18+F12</f>
        <v>6239413.333333334</v>
      </c>
      <c r="G53" s="56">
        <f>G52+G45+G41+G35+G29+G23+G18+G12</f>
        <v>1247882.6666666667</v>
      </c>
      <c r="H53" s="56">
        <f>H52+H45+H41+H35+H29+H23+H18+H12</f>
        <v>7987296</v>
      </c>
      <c r="I53" s="25"/>
      <c r="J53" s="25"/>
      <c r="K53" s="25"/>
      <c r="L53" s="25"/>
      <c r="N53" s="113">
        <f>N52+N45+N41+N35+N29+N23+N18+N12</f>
        <v>1982760</v>
      </c>
      <c r="O53" s="33"/>
      <c r="P53" s="78">
        <f>P52+P45+P41+P35+P29+P23+P18+P12</f>
        <v>5115520.8</v>
      </c>
      <c r="Q53" s="33"/>
      <c r="R53" s="37">
        <f>R52+R45+R41+R35+R29+R23+R18+R12</f>
        <v>4896645.333333334</v>
      </c>
      <c r="S53" s="33"/>
      <c r="T53" s="81">
        <f>T52+T45+T41+T35+T29+T23+T18+T12</f>
        <v>1293661.5999999999</v>
      </c>
      <c r="U53" s="19">
        <f>U52+U45+U41+U35+U29+U23+U18+U12</f>
        <v>0</v>
      </c>
      <c r="V53" s="19">
        <f>V52+V45+V41+V35+V29+V23+V18+V12</f>
        <v>638975.86666666658</v>
      </c>
      <c r="W53" s="115">
        <f>W52+W45+W41+W35+W29+W23+W18+W12</f>
        <v>6364303.8999999985</v>
      </c>
      <c r="X53" s="165">
        <f>X52+X45+X41+X35+X29+X23+X18+X12</f>
        <v>1060717.3166666667</v>
      </c>
      <c r="Z53" s="113">
        <f>Z52+Z45+Z41+Z35+Z29+Z23+Z18+Z12</f>
        <v>920279.33333333326</v>
      </c>
      <c r="AA53" s="33"/>
      <c r="AB53" s="78">
        <f>AB52+AB45+AB41+AB35+AB29+AB23+AB18+AB12</f>
        <v>2411131.8533333326</v>
      </c>
      <c r="AC53" s="33"/>
      <c r="AD53" s="37">
        <f>AD52+AD45+AD41+AD35+AD29+AD23+AD18+AD12</f>
        <v>3090650.6666666665</v>
      </c>
      <c r="AE53" s="33"/>
      <c r="AF53" s="81">
        <f>AF52+AF45+AF41+AF35+AF29+AF23+AF18+AF12</f>
        <v>794037</v>
      </c>
      <c r="AG53" s="19">
        <f>AG52+AG45+AG41+AG35+AG29+AG23+AG18+AG12</f>
        <v>690209.5</v>
      </c>
      <c r="AH53" s="115">
        <f>AH52+AH45+AH41+AH35+AH29+AH23+AH18+AH12</f>
        <v>1511851.2533333332</v>
      </c>
      <c r="AI53" s="165">
        <f>AI52+AI45+AI41+AI35+AI29+AI23+AI18+AI12</f>
        <v>251975.20888888888</v>
      </c>
      <c r="AJ53" s="95"/>
      <c r="AK53" s="113">
        <f>AK52+AK45+AK41+AK35+AK29+AK23+AK18+AK12</f>
        <v>456411.33333333337</v>
      </c>
      <c r="AL53" s="95"/>
      <c r="AM53" s="126">
        <f>AM52+AM45+AM41+AM35+AM29+AM23+AM18+AM12</f>
        <v>1177541.2400000002</v>
      </c>
      <c r="AN53" s="95"/>
      <c r="AO53" s="113">
        <f>AO52+AO45+AO41+AO35+AO29+AO23+AO18+AO12</f>
        <v>3856537.777777778</v>
      </c>
      <c r="AP53" s="90"/>
      <c r="AQ53" s="37">
        <f>AQ52+AQ45+AQ41+AQ35+AQ29+AQ23+AQ18+AQ12</f>
        <v>771307.5555555555</v>
      </c>
      <c r="AR53" s="37">
        <f>AR52+AR45+AR41+AR35+AR29+AR23+AR18+AR12</f>
        <v>3470884</v>
      </c>
      <c r="AS53" s="37">
        <f>AS52+AS45+AS41+AS35+AS29+AS23+AS18+AS12</f>
        <v>385653.77777777775</v>
      </c>
      <c r="AT53" s="132">
        <f>AT52+AT45+AT41+AT35+AT29+AT23+AT18+AT12</f>
        <v>1156961.3333333335</v>
      </c>
    </row>
    <row r="54" spans="2:46" ht="15.75" thickBot="1" x14ac:dyDescent="0.3">
      <c r="I54" s="25"/>
      <c r="J54" s="176" t="s">
        <v>141</v>
      </c>
      <c r="K54" s="25"/>
      <c r="N54" s="206">
        <f>N53/($N$53+$Z$53+$AK$53+$AO$53)</f>
        <v>0.27477316728888579</v>
      </c>
      <c r="O54" s="33"/>
      <c r="P54" s="76">
        <f>P53</f>
        <v>5115520.8</v>
      </c>
      <c r="Q54" s="33"/>
      <c r="R54" s="40"/>
      <c r="S54" s="33"/>
      <c r="T54" s="70"/>
      <c r="U54" s="33"/>
      <c r="V54" s="33"/>
      <c r="W54" s="114">
        <f>SUM(T53:W53)</f>
        <v>8296941.3666666653</v>
      </c>
      <c r="X54" s="23"/>
      <c r="Z54" s="206">
        <f>Z53/($N$53+$Z$53+$AK$53+$AO$53)</f>
        <v>0.12753337126556127</v>
      </c>
      <c r="AA54" s="33"/>
      <c r="AB54" s="76">
        <f>AB53</f>
        <v>2411131.8533333326</v>
      </c>
      <c r="AC54" s="33"/>
      <c r="AD54" s="40"/>
      <c r="AE54" s="33"/>
      <c r="AF54" s="70"/>
      <c r="AG54" s="33"/>
      <c r="AH54" s="114">
        <f>SUM(AF53:AH53)</f>
        <v>2996097.7533333329</v>
      </c>
      <c r="AI54" s="23"/>
      <c r="AJ54" s="95"/>
      <c r="AK54" s="206">
        <f>AK53/($N$53+$Z$53+$AK$53+$AO$53)</f>
        <v>6.3250008899989621E-2</v>
      </c>
      <c r="AL54" s="95"/>
      <c r="AM54" s="127"/>
      <c r="AN54" s="95"/>
      <c r="AO54" s="206">
        <f>AO53/($N$53+$Z$53+$AK$53+$AO$53)</f>
        <v>0.53444345254556336</v>
      </c>
      <c r="AP54" s="40"/>
      <c r="AQ54" s="40"/>
      <c r="AR54" s="40"/>
      <c r="AS54" s="40"/>
      <c r="AT54" s="159" t="s">
        <v>115</v>
      </c>
    </row>
    <row r="55" spans="2:46" ht="15.75" thickBot="1" x14ac:dyDescent="0.3">
      <c r="I55" s="25"/>
      <c r="J55" s="174"/>
      <c r="K55" s="175" t="s">
        <v>140</v>
      </c>
      <c r="N55" s="116"/>
      <c r="O55" s="33"/>
      <c r="P55" s="40"/>
      <c r="Q55" s="33"/>
      <c r="R55" s="40"/>
      <c r="S55" s="33"/>
      <c r="T55" s="70"/>
      <c r="U55" s="33"/>
      <c r="V55" s="71"/>
      <c r="W55" s="114">
        <f>W54+P54</f>
        <v>13412462.166666664</v>
      </c>
      <c r="X55" s="23"/>
      <c r="Z55" s="116"/>
      <c r="AA55" s="33"/>
      <c r="AB55" s="40"/>
      <c r="AC55" s="33"/>
      <c r="AD55" s="40"/>
      <c r="AE55" s="33"/>
      <c r="AF55" s="70"/>
      <c r="AG55" s="33"/>
      <c r="AH55" s="114">
        <f>AH54+AB54</f>
        <v>5407229.6066666655</v>
      </c>
      <c r="AI55" s="167" t="s">
        <v>117</v>
      </c>
      <c r="AJ55" s="95"/>
      <c r="AK55" s="116"/>
      <c r="AL55" s="95"/>
      <c r="AM55" s="126">
        <f>AM53</f>
        <v>1177541.2400000002</v>
      </c>
      <c r="AN55" s="95"/>
      <c r="AO55" s="116"/>
      <c r="AP55" s="40"/>
      <c r="AQ55" s="40"/>
      <c r="AR55" s="40"/>
      <c r="AS55" s="40"/>
      <c r="AT55" s="132">
        <f>AO53+AT53</f>
        <v>5013499.1111111119</v>
      </c>
    </row>
    <row r="56" spans="2:46" ht="15.75" thickBot="1" x14ac:dyDescent="0.3">
      <c r="I56" s="25"/>
      <c r="K56" s="25"/>
      <c r="N56" s="117"/>
      <c r="O56" s="118"/>
      <c r="P56" s="99"/>
      <c r="Q56" s="118"/>
      <c r="R56" s="99"/>
      <c r="S56" s="118"/>
      <c r="T56" s="119"/>
      <c r="U56" s="118"/>
      <c r="V56" s="118"/>
      <c r="W56" s="120"/>
      <c r="X56" s="33"/>
      <c r="Z56" s="117"/>
      <c r="AA56" s="118"/>
      <c r="AB56" s="99"/>
      <c r="AC56" s="118"/>
      <c r="AD56" s="99"/>
      <c r="AE56" s="118"/>
      <c r="AF56" s="119"/>
      <c r="AG56" s="118"/>
      <c r="AH56" s="120"/>
      <c r="AI56" s="165">
        <f>AI53+X53</f>
        <v>1312692.5255555555</v>
      </c>
      <c r="AJ56" s="95"/>
      <c r="AK56" s="117"/>
      <c r="AL56" s="128"/>
      <c r="AM56" s="127"/>
      <c r="AN56" s="95"/>
      <c r="AO56" s="117"/>
      <c r="AP56" s="99"/>
      <c r="AQ56" s="99"/>
      <c r="AR56" s="99"/>
      <c r="AS56" s="99"/>
      <c r="AT56" s="127"/>
    </row>
    <row r="57" spans="2:46" ht="15.75" thickBot="1" x14ac:dyDescent="0.3">
      <c r="K57" s="25"/>
      <c r="W57" s="31" t="s">
        <v>9</v>
      </c>
      <c r="X57" s="31"/>
      <c r="AH57" s="31" t="s">
        <v>9</v>
      </c>
      <c r="AI57" s="31"/>
      <c r="AM57" s="31" t="s">
        <v>9</v>
      </c>
      <c r="AP57" s="33"/>
    </row>
    <row r="58" spans="2:46" ht="15.75" thickBot="1" x14ac:dyDescent="0.3">
      <c r="K58" s="25"/>
      <c r="W58" s="19">
        <f>'2. Budgets + Costs per net'!C13</f>
        <v>13475785.039999999</v>
      </c>
      <c r="X58" s="23"/>
      <c r="AH58" s="19">
        <f>'2. Budgets + Costs per net'!D13</f>
        <v>5595500</v>
      </c>
      <c r="AI58" s="23"/>
      <c r="AJ58" s="23"/>
      <c r="AK58" s="23"/>
      <c r="AL58" s="23"/>
      <c r="AM58" s="19">
        <f>'2. Budgets + Costs per net'!E13</f>
        <v>1300764</v>
      </c>
      <c r="AN58" s="23"/>
      <c r="AP58" s="33"/>
    </row>
    <row r="59" spans="2:46" x14ac:dyDescent="0.25">
      <c r="K59" s="25"/>
      <c r="V59" s="177" t="s">
        <v>142</v>
      </c>
      <c r="W59" s="89">
        <f>W55-W58</f>
        <v>-63322.873333334923</v>
      </c>
      <c r="X59" s="89"/>
      <c r="AG59" s="177" t="s">
        <v>142</v>
      </c>
      <c r="AH59" s="89">
        <f>AH55-AH58</f>
        <v>-188270.39333333448</v>
      </c>
      <c r="AI59" s="89"/>
      <c r="AJ59" s="89"/>
      <c r="AK59" s="177" t="s">
        <v>142</v>
      </c>
      <c r="AL59" s="89"/>
      <c r="AM59" s="89">
        <f>AM55-AM58</f>
        <v>-123222.75999999978</v>
      </c>
      <c r="AN59" s="89"/>
    </row>
    <row r="60" spans="2:46" ht="15.75" thickBot="1" x14ac:dyDescent="0.3">
      <c r="K60" s="25"/>
      <c r="V60" s="168"/>
    </row>
    <row r="61" spans="2:46" ht="15" customHeight="1" x14ac:dyDescent="0.25">
      <c r="N61" s="267" t="s">
        <v>143</v>
      </c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9"/>
    </row>
    <row r="62" spans="2:46" ht="15.75" customHeight="1" x14ac:dyDescent="0.25">
      <c r="N62" s="270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  <c r="AG62" s="271"/>
      <c r="AH62" s="272"/>
    </row>
    <row r="63" spans="2:46" ht="15.75" customHeight="1" thickBot="1" x14ac:dyDescent="0.3">
      <c r="N63" s="273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5"/>
    </row>
  </sheetData>
  <mergeCells count="16">
    <mergeCell ref="B2:AT2"/>
    <mergeCell ref="B4:H4"/>
    <mergeCell ref="J4:L4"/>
    <mergeCell ref="N61:AH63"/>
    <mergeCell ref="AO4:AT4"/>
    <mergeCell ref="AK4:AM4"/>
    <mergeCell ref="B7:B12"/>
    <mergeCell ref="B30:B35"/>
    <mergeCell ref="B36:B41"/>
    <mergeCell ref="B19:B23"/>
    <mergeCell ref="B13:B18"/>
    <mergeCell ref="B24:B29"/>
    <mergeCell ref="B46:B52"/>
    <mergeCell ref="N4:W4"/>
    <mergeCell ref="Z4:AH4"/>
    <mergeCell ref="B42:B45"/>
  </mergeCells>
  <pageMargins left="0.7" right="0.7" top="0.75" bottom="0.75" header="0.3" footer="0.3"/>
  <pageSetup paperSize="9" orientation="portrait" horizontalDpi="0" verticalDpi="0"/>
  <ignoredErrors>
    <ignoredError sqref="F12:H45 J43:J45 J12 J18:J23 J16 N12:W41 N43:W45 M12:M45 J29:J35 J41 AQ12:AQ53 AO12:AO53 AR12:AT45 Z12:AH53 AK12:AM45 X12:X5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65"/>
  <sheetViews>
    <sheetView zoomScale="75" zoomScaleNormal="75" workbookViewId="0"/>
  </sheetViews>
  <sheetFormatPr defaultColWidth="9.5" defaultRowHeight="15.75" x14ac:dyDescent="0.25"/>
  <cols>
    <col min="1" max="1" width="3.125" style="28" customWidth="1"/>
    <col min="2" max="2" width="10" style="27" customWidth="1"/>
    <col min="3" max="3" width="11.625" style="28" bestFit="1" customWidth="1"/>
    <col min="4" max="4" width="11.625" style="28" customWidth="1"/>
    <col min="5" max="5" width="0.875" style="28" customWidth="1"/>
    <col min="6" max="9" width="10.625" style="28" customWidth="1"/>
    <col min="10" max="10" width="0.875" style="28" customWidth="1"/>
    <col min="11" max="11" width="11.375" style="28" customWidth="1"/>
    <col min="12" max="12" width="0.875" style="28" customWidth="1"/>
    <col min="13" max="14" width="10.625" style="28" customWidth="1"/>
    <col min="15" max="17" width="12.625" style="28" customWidth="1"/>
    <col min="18" max="18" width="0.875" style="28" customWidth="1"/>
    <col min="19" max="19" width="10.625" style="28" customWidth="1"/>
    <col min="20" max="20" width="12.625" style="28" customWidth="1"/>
    <col min="21" max="25" width="10.625" style="28" customWidth="1"/>
    <col min="26" max="26" width="0.875" style="28" customWidth="1"/>
    <col min="27" max="27" width="16.625" style="28" customWidth="1"/>
    <col min="28" max="29" width="10.625" style="28" customWidth="1"/>
    <col min="30" max="30" width="34.5" style="28" customWidth="1"/>
    <col min="31" max="31" width="2.625" style="28" customWidth="1"/>
    <col min="32" max="40" width="9.5" style="28" customWidth="1"/>
    <col min="41" max="41" width="9.5" style="28"/>
    <col min="43" max="16384" width="9.5" style="28"/>
  </cols>
  <sheetData>
    <row r="2" spans="1:30" x14ac:dyDescent="0.25">
      <c r="B2" s="258" t="s">
        <v>126</v>
      </c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60"/>
    </row>
    <row r="3" spans="1:30" x14ac:dyDescent="0.25">
      <c r="B3" s="28"/>
      <c r="O3" s="184" t="s">
        <v>144</v>
      </c>
      <c r="P3" s="184"/>
      <c r="Q3" s="184"/>
    </row>
    <row r="4" spans="1:30" x14ac:dyDescent="0.25">
      <c r="B4" s="28"/>
      <c r="O4" s="180">
        <v>1.85</v>
      </c>
      <c r="P4" s="184"/>
      <c r="Q4" s="184"/>
    </row>
    <row r="5" spans="1:30" ht="16.5" thickBot="1" x14ac:dyDescent="0.3">
      <c r="G5" s="26"/>
      <c r="H5" s="26"/>
      <c r="I5" s="26"/>
      <c r="J5" s="25"/>
      <c r="L5" s="67"/>
      <c r="M5" s="67"/>
    </row>
    <row r="6" spans="1:30" ht="66.75" customHeight="1" thickBot="1" x14ac:dyDescent="0.3">
      <c r="B6" s="261" t="s">
        <v>138</v>
      </c>
      <c r="C6" s="262"/>
      <c r="D6" s="262"/>
      <c r="E6" s="262"/>
      <c r="F6" s="262"/>
      <c r="G6" s="262"/>
      <c r="H6" s="262"/>
      <c r="I6" s="263"/>
      <c r="J6" s="25"/>
      <c r="K6" s="244" t="s">
        <v>139</v>
      </c>
      <c r="L6" s="6"/>
      <c r="M6" s="276" t="s">
        <v>1</v>
      </c>
      <c r="N6" s="277"/>
      <c r="O6" s="277"/>
      <c r="P6" s="277"/>
      <c r="Q6" s="278"/>
      <c r="R6" s="212"/>
      <c r="S6" s="276" t="s">
        <v>178</v>
      </c>
      <c r="T6" s="277"/>
      <c r="U6" s="277"/>
      <c r="V6" s="277"/>
      <c r="W6" s="277"/>
      <c r="X6" s="277"/>
      <c r="Y6" s="278"/>
      <c r="AA6" s="245">
        <v>0.15</v>
      </c>
    </row>
    <row r="7" spans="1:30" s="29" customFormat="1" ht="64.349999999999994" customHeight="1" x14ac:dyDescent="0.25">
      <c r="B7" s="171" t="s">
        <v>20</v>
      </c>
      <c r="C7" s="172" t="s">
        <v>21</v>
      </c>
      <c r="D7" s="236" t="s">
        <v>182</v>
      </c>
      <c r="E7" s="28"/>
      <c r="F7" s="173" t="s">
        <v>91</v>
      </c>
      <c r="G7" s="173" t="s">
        <v>93</v>
      </c>
      <c r="H7" s="173" t="s">
        <v>19</v>
      </c>
      <c r="I7" s="173" t="s">
        <v>92</v>
      </c>
      <c r="J7" s="25"/>
      <c r="K7" s="173" t="s">
        <v>94</v>
      </c>
      <c r="L7" s="95"/>
      <c r="M7" s="222" t="s">
        <v>91</v>
      </c>
      <c r="N7" s="213" t="s">
        <v>105</v>
      </c>
      <c r="O7" s="214" t="s">
        <v>145</v>
      </c>
      <c r="P7" s="221" t="s">
        <v>179</v>
      </c>
      <c r="Q7" s="229" t="s">
        <v>145</v>
      </c>
      <c r="R7" s="95"/>
      <c r="S7" s="221" t="s">
        <v>106</v>
      </c>
      <c r="T7" s="214" t="s">
        <v>147</v>
      </c>
      <c r="U7" s="215" t="s">
        <v>107</v>
      </c>
      <c r="V7" s="215" t="s">
        <v>180</v>
      </c>
      <c r="W7" s="216" t="s">
        <v>109</v>
      </c>
      <c r="X7" s="216" t="s">
        <v>181</v>
      </c>
      <c r="Y7" s="217" t="s">
        <v>108</v>
      </c>
      <c r="AA7" s="243" t="s">
        <v>186</v>
      </c>
      <c r="AB7" s="197" t="s">
        <v>174</v>
      </c>
      <c r="AC7" s="197" t="s">
        <v>175</v>
      </c>
      <c r="AD7" s="202" t="s">
        <v>148</v>
      </c>
    </row>
    <row r="8" spans="1:30" s="29" customFormat="1" ht="15" customHeight="1" x14ac:dyDescent="0.25">
      <c r="E8" s="28"/>
      <c r="F8" s="30"/>
      <c r="G8" s="49">
        <v>1.8</v>
      </c>
      <c r="H8" s="50">
        <v>0.2</v>
      </c>
      <c r="I8" s="24"/>
      <c r="J8" s="24"/>
      <c r="K8" s="24"/>
      <c r="L8" s="95"/>
      <c r="M8" s="223"/>
      <c r="N8" s="185"/>
      <c r="O8" s="190"/>
      <c r="P8" s="190"/>
      <c r="Q8" s="190"/>
      <c r="R8" s="218"/>
      <c r="S8" s="200"/>
      <c r="T8" s="200"/>
      <c r="U8" s="181"/>
      <c r="V8" s="181"/>
      <c r="W8" s="73"/>
      <c r="X8" s="230"/>
      <c r="Y8" s="130"/>
      <c r="AA8" s="242"/>
    </row>
    <row r="9" spans="1:30" x14ac:dyDescent="0.25">
      <c r="A9" s="28">
        <v>1</v>
      </c>
      <c r="B9" s="279" t="s">
        <v>27</v>
      </c>
      <c r="C9" s="34" t="s">
        <v>28</v>
      </c>
      <c r="D9" s="33">
        <v>8</v>
      </c>
      <c r="F9" s="51">
        <v>286948</v>
      </c>
      <c r="G9" s="52">
        <f>F9/$G$8</f>
        <v>159415.55555555556</v>
      </c>
      <c r="H9" s="52">
        <f>G9*$H$8</f>
        <v>31883.111111111113</v>
      </c>
      <c r="I9" s="52">
        <f>G9+H9</f>
        <v>191298.66666666669</v>
      </c>
      <c r="J9" s="25"/>
      <c r="K9" s="65" t="s">
        <v>1</v>
      </c>
      <c r="L9" s="95"/>
      <c r="M9" s="224">
        <v>286948</v>
      </c>
      <c r="N9" s="186">
        <f>IF(K9="AMF",G9,"")</f>
        <v>159415.55555555556</v>
      </c>
      <c r="O9" s="205">
        <f>N9*$O$4</f>
        <v>294918.77777777781</v>
      </c>
      <c r="P9" s="201">
        <f>(ROUNDUP(N9/500,0))*500</f>
        <v>159500</v>
      </c>
      <c r="Q9" s="205">
        <f>P9*$O$4</f>
        <v>295075</v>
      </c>
      <c r="R9" s="219"/>
      <c r="S9" s="201">
        <f>IF(K9="AMF",H9,"")</f>
        <v>31883.111111111113</v>
      </c>
      <c r="T9" s="191">
        <f>S9*$O$4</f>
        <v>58983.755555555559</v>
      </c>
      <c r="U9" s="182">
        <f>IF(N9="","",N9*0.9)</f>
        <v>143474</v>
      </c>
      <c r="V9" s="182">
        <f>P9*0.9</f>
        <v>143550</v>
      </c>
      <c r="W9" s="41">
        <f>IF(N9="","",N9-U9)</f>
        <v>15941.555555555562</v>
      </c>
      <c r="X9" s="231"/>
      <c r="Y9" s="131">
        <f>IF(N9="","",S9+W9)</f>
        <v>47824.666666666672</v>
      </c>
      <c r="AA9" s="201">
        <f>N9*AA6</f>
        <v>23912.333333333332</v>
      </c>
      <c r="AB9" s="204">
        <v>10.398382</v>
      </c>
      <c r="AC9" s="204">
        <v>-14.007235</v>
      </c>
      <c r="AD9" s="178" t="s">
        <v>154</v>
      </c>
    </row>
    <row r="10" spans="1:30" x14ac:dyDescent="0.25">
      <c r="A10" s="28">
        <v>2</v>
      </c>
      <c r="B10" s="279"/>
      <c r="C10" s="40" t="s">
        <v>29</v>
      </c>
      <c r="D10" s="33">
        <v>10</v>
      </c>
      <c r="F10" s="53">
        <v>561204</v>
      </c>
      <c r="G10" s="54">
        <f>F10/$G$8</f>
        <v>311780</v>
      </c>
      <c r="H10" s="54">
        <f>G10*$H$8</f>
        <v>62356</v>
      </c>
      <c r="I10" s="54">
        <f t="shared" ref="I10:I13" si="0">G10+H10</f>
        <v>374136</v>
      </c>
      <c r="J10" s="25"/>
      <c r="K10" s="61" t="s">
        <v>1</v>
      </c>
      <c r="L10" s="95"/>
      <c r="M10" s="224">
        <v>561204</v>
      </c>
      <c r="N10" s="186">
        <f>IF(K10="AMF",G10,"")</f>
        <v>311780</v>
      </c>
      <c r="O10" s="205">
        <f t="shared" ref="O10:O13" si="1">N10*$O$4</f>
        <v>576793</v>
      </c>
      <c r="P10" s="201">
        <f t="shared" ref="P10:P13" si="2">(ROUNDUP(N10/500,0))*500</f>
        <v>312000</v>
      </c>
      <c r="Q10" s="205">
        <f t="shared" ref="Q10:Q13" si="3">P10*$O$4</f>
        <v>577200</v>
      </c>
      <c r="R10" s="219"/>
      <c r="S10" s="201">
        <f>IF(K10="AMF",H10,"")</f>
        <v>62356</v>
      </c>
      <c r="T10" s="191">
        <f t="shared" ref="T10:T13" si="4">S10*$O$4</f>
        <v>115358.6</v>
      </c>
      <c r="U10" s="182">
        <f t="shared" ref="U10:U53" si="5">IF(N10="","",N10*0.9)</f>
        <v>280602</v>
      </c>
      <c r="V10" s="182">
        <f t="shared" ref="V10:V13" si="6">P10*0.9</f>
        <v>280800</v>
      </c>
      <c r="W10" s="41">
        <f>IF(N10="","",N10-U10)</f>
        <v>31178</v>
      </c>
      <c r="X10" s="231"/>
      <c r="Y10" s="131">
        <f t="shared" ref="Y10:Y53" si="7">IF(N10="","",S10+W10)</f>
        <v>93534</v>
      </c>
      <c r="AA10" s="201">
        <f>N10*AA6</f>
        <v>46767</v>
      </c>
      <c r="AB10" s="204">
        <v>11.084738</v>
      </c>
      <c r="AC10" s="204">
        <v>-14.379191</v>
      </c>
      <c r="AD10" s="178" t="s">
        <v>155</v>
      </c>
    </row>
    <row r="11" spans="1:30" x14ac:dyDescent="0.25">
      <c r="A11" s="28">
        <v>3</v>
      </c>
      <c r="B11" s="279"/>
      <c r="C11" s="40" t="s">
        <v>30</v>
      </c>
      <c r="D11" s="33">
        <v>4</v>
      </c>
      <c r="F11" s="53">
        <v>149909</v>
      </c>
      <c r="G11" s="54">
        <f>F11/$G$8</f>
        <v>83282.777777777781</v>
      </c>
      <c r="H11" s="54">
        <f>G11*$H$8</f>
        <v>16656.555555555558</v>
      </c>
      <c r="I11" s="54">
        <f t="shared" si="0"/>
        <v>99939.333333333343</v>
      </c>
      <c r="J11" s="25"/>
      <c r="K11" s="61" t="s">
        <v>1</v>
      </c>
      <c r="L11" s="95"/>
      <c r="M11" s="224">
        <v>149909</v>
      </c>
      <c r="N11" s="186">
        <f>IF(K11="AMF",G11,"")</f>
        <v>83282.777777777781</v>
      </c>
      <c r="O11" s="205">
        <f t="shared" si="1"/>
        <v>154073.13888888891</v>
      </c>
      <c r="P11" s="201">
        <f t="shared" si="2"/>
        <v>83500</v>
      </c>
      <c r="Q11" s="205">
        <f t="shared" si="3"/>
        <v>154475</v>
      </c>
      <c r="R11" s="219"/>
      <c r="S11" s="201">
        <f>IF(K11="AMF",H11,"")</f>
        <v>16656.555555555558</v>
      </c>
      <c r="T11" s="191">
        <f t="shared" si="4"/>
        <v>30814.627777777783</v>
      </c>
      <c r="U11" s="182">
        <f t="shared" si="5"/>
        <v>74954.5</v>
      </c>
      <c r="V11" s="182">
        <f t="shared" si="6"/>
        <v>75150</v>
      </c>
      <c r="W11" s="41">
        <f>IF(N11="","",N11-U11)</f>
        <v>8328.277777777781</v>
      </c>
      <c r="X11" s="231"/>
      <c r="Y11" s="131">
        <f t="shared" si="7"/>
        <v>24984.833333333339</v>
      </c>
      <c r="AA11" s="201">
        <f>N11*AA6</f>
        <v>12492.416666666666</v>
      </c>
      <c r="AB11" s="204">
        <v>10.548415</v>
      </c>
      <c r="AC11" s="204">
        <v>-13.589973000000001</v>
      </c>
      <c r="AD11" s="178" t="s">
        <v>156</v>
      </c>
    </row>
    <row r="12" spans="1:30" x14ac:dyDescent="0.25">
      <c r="A12" s="28">
        <v>4</v>
      </c>
      <c r="B12" s="279"/>
      <c r="C12" s="40" t="s">
        <v>31</v>
      </c>
      <c r="D12" s="33">
        <v>8</v>
      </c>
      <c r="F12" s="53">
        <v>252245</v>
      </c>
      <c r="G12" s="54">
        <f>F12/$G$8</f>
        <v>140136.11111111109</v>
      </c>
      <c r="H12" s="54">
        <f>G12*$H$8</f>
        <v>28027.222222222219</v>
      </c>
      <c r="I12" s="54">
        <f t="shared" si="0"/>
        <v>168163.33333333331</v>
      </c>
      <c r="J12" s="25"/>
      <c r="K12" s="61" t="s">
        <v>1</v>
      </c>
      <c r="L12" s="95"/>
      <c r="M12" s="224">
        <v>252245</v>
      </c>
      <c r="N12" s="186">
        <f>IF(K12="AMF",G12,"")</f>
        <v>140136.11111111109</v>
      </c>
      <c r="O12" s="205">
        <f t="shared" si="1"/>
        <v>259251.80555555553</v>
      </c>
      <c r="P12" s="201">
        <f t="shared" si="2"/>
        <v>140500</v>
      </c>
      <c r="Q12" s="205">
        <f t="shared" si="3"/>
        <v>259925</v>
      </c>
      <c r="R12" s="219"/>
      <c r="S12" s="201">
        <f>IF(K12="AMF",H12,"")</f>
        <v>28027.222222222219</v>
      </c>
      <c r="T12" s="191">
        <f t="shared" si="4"/>
        <v>51850.361111111109</v>
      </c>
      <c r="U12" s="182">
        <f t="shared" si="5"/>
        <v>126122.49999999999</v>
      </c>
      <c r="V12" s="182">
        <f t="shared" si="6"/>
        <v>126450</v>
      </c>
      <c r="W12" s="41">
        <f>IF(N12="","",N12-U12)</f>
        <v>14013.611111111109</v>
      </c>
      <c r="X12" s="231"/>
      <c r="Y12" s="131">
        <f t="shared" si="7"/>
        <v>42040.833333333328</v>
      </c>
      <c r="AA12" s="201">
        <f>N12*AA6</f>
        <v>21020.416666666664</v>
      </c>
      <c r="AB12" s="204">
        <v>11.576280000000001</v>
      </c>
      <c r="AC12" s="204">
        <v>-13.358729</v>
      </c>
      <c r="AD12" s="178" t="s">
        <v>157</v>
      </c>
    </row>
    <row r="13" spans="1:30" ht="16.5" thickBot="1" x14ac:dyDescent="0.3">
      <c r="A13" s="28">
        <v>5</v>
      </c>
      <c r="B13" s="279"/>
      <c r="C13" s="40" t="s">
        <v>32</v>
      </c>
      <c r="D13" s="33">
        <v>7</v>
      </c>
      <c r="F13" s="53">
        <v>165379</v>
      </c>
      <c r="G13" s="54">
        <f>F13/$G$8</f>
        <v>91877.222222222219</v>
      </c>
      <c r="H13" s="54">
        <f>G13*$H$8</f>
        <v>18375.444444444445</v>
      </c>
      <c r="I13" s="54">
        <f t="shared" si="0"/>
        <v>110252.66666666666</v>
      </c>
      <c r="J13" s="25"/>
      <c r="K13" s="61" t="s">
        <v>1</v>
      </c>
      <c r="L13" s="95"/>
      <c r="M13" s="224">
        <v>165379</v>
      </c>
      <c r="N13" s="186">
        <f>IF(K13="AMF",G13,"")</f>
        <v>91877.222222222219</v>
      </c>
      <c r="O13" s="205">
        <f t="shared" si="1"/>
        <v>169972.86111111112</v>
      </c>
      <c r="P13" s="201">
        <f t="shared" si="2"/>
        <v>92000</v>
      </c>
      <c r="Q13" s="205">
        <f t="shared" si="3"/>
        <v>170200</v>
      </c>
      <c r="R13" s="219"/>
      <c r="S13" s="201">
        <f>IF(K13="AMF",H13,"")</f>
        <v>18375.444444444445</v>
      </c>
      <c r="T13" s="191">
        <f t="shared" si="4"/>
        <v>33994.572222222225</v>
      </c>
      <c r="U13" s="182">
        <f t="shared" si="5"/>
        <v>82689.5</v>
      </c>
      <c r="V13" s="182">
        <f t="shared" si="6"/>
        <v>82800</v>
      </c>
      <c r="W13" s="41">
        <f>IF(N13="","",N13-U13)</f>
        <v>9187.722222222219</v>
      </c>
      <c r="X13" s="231"/>
      <c r="Y13" s="131">
        <f t="shared" si="7"/>
        <v>27563.166666666664</v>
      </c>
      <c r="AA13" s="201">
        <f>N13*AA6</f>
        <v>13781.583333333332</v>
      </c>
      <c r="AB13" s="204">
        <v>12.384843</v>
      </c>
      <c r="AC13" s="204">
        <v>-13.266348000000001</v>
      </c>
      <c r="AD13" s="178" t="s">
        <v>158</v>
      </c>
    </row>
    <row r="14" spans="1:30" ht="16.5" thickBot="1" x14ac:dyDescent="0.3">
      <c r="B14" s="279"/>
      <c r="C14" s="36" t="s">
        <v>111</v>
      </c>
      <c r="D14" s="36">
        <f>SUM(D9:D13)</f>
        <v>37</v>
      </c>
      <c r="F14" s="55">
        <f>SUM(F9:F13)</f>
        <v>1415685</v>
      </c>
      <c r="G14" s="56">
        <f>SUM(G9:G13)</f>
        <v>786491.66666666674</v>
      </c>
      <c r="H14" s="56">
        <f>SUM(H9:H13)</f>
        <v>157298.33333333331</v>
      </c>
      <c r="I14" s="56">
        <f>SUM(I9:I13)</f>
        <v>943790.00000000012</v>
      </c>
      <c r="J14" s="25"/>
      <c r="K14" s="38"/>
      <c r="L14" s="95"/>
      <c r="M14" s="225">
        <f>SUM(M9:M13)</f>
        <v>1415685</v>
      </c>
      <c r="N14" s="187">
        <f>SUM(N9:N13)</f>
        <v>786491.66666666674</v>
      </c>
      <c r="O14" s="196">
        <f>SUM(O9:O13)</f>
        <v>1455009.5833333335</v>
      </c>
      <c r="P14" s="233">
        <f>SUM(P9:P13)</f>
        <v>787500</v>
      </c>
      <c r="Q14" s="196">
        <f>SUM(Q9:Q13)</f>
        <v>1456875</v>
      </c>
      <c r="R14" s="220"/>
      <c r="S14" s="193">
        <f>SUM(S9:S13)</f>
        <v>157298.33333333331</v>
      </c>
      <c r="T14" s="196">
        <f>SUM(T9:T13)</f>
        <v>291001.91666666669</v>
      </c>
      <c r="U14" s="199">
        <f>SUM(U9:U13)</f>
        <v>707842.5</v>
      </c>
      <c r="V14" s="234">
        <f>SUM(V9:V13)</f>
        <v>708750</v>
      </c>
      <c r="W14" s="37">
        <f>SUM(W9:W13)</f>
        <v>78649.166666666672</v>
      </c>
      <c r="X14" s="232"/>
      <c r="Y14" s="132">
        <f>SUM(Y9:Y13)</f>
        <v>235947.50000000003</v>
      </c>
      <c r="AA14" s="193">
        <f>SUM(AA9:AA13)</f>
        <v>117973.74999999999</v>
      </c>
      <c r="AB14" s="198">
        <v>11.065367999999999</v>
      </c>
      <c r="AC14" s="198">
        <v>-13.921744</v>
      </c>
      <c r="AD14" s="178" t="s">
        <v>149</v>
      </c>
    </row>
    <row r="15" spans="1:30" x14ac:dyDescent="0.25">
      <c r="B15" s="257" t="s">
        <v>34</v>
      </c>
      <c r="C15" s="40" t="s">
        <v>35</v>
      </c>
      <c r="D15" s="33"/>
      <c r="F15" s="57">
        <v>270347</v>
      </c>
      <c r="G15" s="54"/>
      <c r="H15" s="54"/>
      <c r="I15" s="54"/>
      <c r="J15" s="25"/>
      <c r="K15" s="42"/>
      <c r="L15" s="95"/>
      <c r="M15" s="226"/>
      <c r="N15" s="186" t="str">
        <f>IF(K15="AMF",I15,"")</f>
        <v/>
      </c>
      <c r="O15" s="191"/>
      <c r="P15" s="191"/>
      <c r="Q15" s="191"/>
      <c r="R15" s="219"/>
      <c r="S15" s="201" t="str">
        <f>IF(K15="AMF",H15,"")</f>
        <v/>
      </c>
      <c r="T15" s="201"/>
      <c r="U15" s="182" t="str">
        <f t="shared" si="5"/>
        <v/>
      </c>
      <c r="V15" s="182"/>
      <c r="W15" s="41" t="str">
        <f>IF(N15="","",N15-U15)</f>
        <v/>
      </c>
      <c r="X15" s="231"/>
      <c r="Y15" s="131" t="str">
        <f t="shared" si="7"/>
        <v/>
      </c>
      <c r="AA15" s="194"/>
    </row>
    <row r="16" spans="1:30" x14ac:dyDescent="0.25">
      <c r="B16" s="257"/>
      <c r="C16" s="40" t="s">
        <v>36</v>
      </c>
      <c r="D16" s="33"/>
      <c r="F16" s="57">
        <v>136234</v>
      </c>
      <c r="G16" s="54"/>
      <c r="H16" s="54"/>
      <c r="I16" s="54"/>
      <c r="J16" s="25"/>
      <c r="K16" s="42"/>
      <c r="L16" s="95"/>
      <c r="M16" s="226"/>
      <c r="N16" s="186" t="str">
        <f>IF(K16="AMF",I16,"")</f>
        <v/>
      </c>
      <c r="O16" s="191"/>
      <c r="P16" s="191"/>
      <c r="Q16" s="191"/>
      <c r="R16" s="219"/>
      <c r="S16" s="201" t="str">
        <f>IF(K16="AMF",H16,"")</f>
        <v/>
      </c>
      <c r="T16" s="201"/>
      <c r="U16" s="182" t="str">
        <f t="shared" si="5"/>
        <v/>
      </c>
      <c r="V16" s="182"/>
      <c r="W16" s="41" t="str">
        <f>IF(N16="","",N16-U16)</f>
        <v/>
      </c>
      <c r="X16" s="231"/>
      <c r="Y16" s="131" t="str">
        <f t="shared" si="7"/>
        <v/>
      </c>
      <c r="AA16" s="194"/>
    </row>
    <row r="17" spans="1:30" ht="16.5" thickBot="1" x14ac:dyDescent="0.3">
      <c r="B17" s="257"/>
      <c r="C17" s="40" t="s">
        <v>37</v>
      </c>
      <c r="D17" s="33"/>
      <c r="F17" s="57">
        <v>288083</v>
      </c>
      <c r="G17" s="54"/>
      <c r="H17" s="54"/>
      <c r="I17" s="54"/>
      <c r="J17" s="25"/>
      <c r="K17" s="42"/>
      <c r="L17" s="95"/>
      <c r="M17" s="226"/>
      <c r="N17" s="186" t="str">
        <f>IF(K17="AMF",I17,"")</f>
        <v/>
      </c>
      <c r="O17" s="191"/>
      <c r="P17" s="191"/>
      <c r="Q17" s="191"/>
      <c r="R17" s="219"/>
      <c r="S17" s="201" t="str">
        <f>IF(K17="AMF",H17,"")</f>
        <v/>
      </c>
      <c r="T17" s="201"/>
      <c r="U17" s="182" t="str">
        <f t="shared" si="5"/>
        <v/>
      </c>
      <c r="V17" s="182"/>
      <c r="W17" s="41" t="str">
        <f>IF(N17="","",N17-U17)</f>
        <v/>
      </c>
      <c r="X17" s="231"/>
      <c r="Y17" s="131" t="str">
        <f t="shared" si="7"/>
        <v/>
      </c>
      <c r="AA17" s="194"/>
    </row>
    <row r="18" spans="1:30" ht="16.5" thickBot="1" x14ac:dyDescent="0.3">
      <c r="B18" s="257"/>
      <c r="C18" s="40" t="s">
        <v>38</v>
      </c>
      <c r="D18" s="33"/>
      <c r="F18" s="57">
        <v>714252</v>
      </c>
      <c r="G18" s="54"/>
      <c r="H18" s="160"/>
      <c r="I18" s="161">
        <v>500000</v>
      </c>
      <c r="J18" s="25"/>
      <c r="K18" s="62" t="s">
        <v>3</v>
      </c>
      <c r="L18" s="95"/>
      <c r="M18" s="226"/>
      <c r="N18" s="186" t="str">
        <f>IF(K18="AMF",I18,"")</f>
        <v/>
      </c>
      <c r="O18" s="191"/>
      <c r="P18" s="191"/>
      <c r="Q18" s="191"/>
      <c r="R18" s="219"/>
      <c r="S18" s="201" t="str">
        <f>IF(K18="AMF",H18,"")</f>
        <v/>
      </c>
      <c r="T18" s="201"/>
      <c r="U18" s="182" t="str">
        <f t="shared" si="5"/>
        <v/>
      </c>
      <c r="V18" s="182"/>
      <c r="W18" s="41" t="str">
        <f>IF(N18="","",N18-U18)</f>
        <v/>
      </c>
      <c r="X18" s="231"/>
      <c r="Y18" s="131" t="str">
        <f t="shared" si="7"/>
        <v/>
      </c>
      <c r="AA18" s="194"/>
    </row>
    <row r="19" spans="1:30" ht="16.5" thickBot="1" x14ac:dyDescent="0.3">
      <c r="B19" s="257"/>
      <c r="C19" s="40" t="s">
        <v>39</v>
      </c>
      <c r="D19" s="33"/>
      <c r="F19" s="57">
        <v>596375</v>
      </c>
      <c r="G19" s="54"/>
      <c r="H19" s="54"/>
      <c r="I19" s="54"/>
      <c r="J19" s="25"/>
      <c r="K19" s="42"/>
      <c r="L19" s="95"/>
      <c r="M19" s="226"/>
      <c r="N19" s="186" t="str">
        <f>IF(K19="AMF",I19,"")</f>
        <v/>
      </c>
      <c r="O19" s="191"/>
      <c r="P19" s="191"/>
      <c r="Q19" s="191"/>
      <c r="R19" s="219"/>
      <c r="S19" s="201" t="str">
        <f>IF(K19="AMF",H19,"")</f>
        <v/>
      </c>
      <c r="T19" s="201"/>
      <c r="U19" s="182" t="str">
        <f t="shared" si="5"/>
        <v/>
      </c>
      <c r="V19" s="182"/>
      <c r="W19" s="41" t="str">
        <f>IF(N19="","",N19-U19)</f>
        <v/>
      </c>
      <c r="X19" s="231"/>
      <c r="Y19" s="131" t="str">
        <f t="shared" si="7"/>
        <v/>
      </c>
      <c r="AA19" s="194"/>
    </row>
    <row r="20" spans="1:30" ht="16.5" thickBot="1" x14ac:dyDescent="0.3">
      <c r="B20" s="257"/>
      <c r="C20" s="36" t="s">
        <v>111</v>
      </c>
      <c r="D20" s="237"/>
      <c r="F20" s="55">
        <f>SUM(F15:F19)</f>
        <v>2005291</v>
      </c>
      <c r="G20" s="56">
        <f>SUM(G15:G19)</f>
        <v>0</v>
      </c>
      <c r="H20" s="56">
        <f>SUM(H15:H19)</f>
        <v>0</v>
      </c>
      <c r="I20" s="58">
        <f>SUM(I15:I19)</f>
        <v>500000</v>
      </c>
      <c r="J20" s="25"/>
      <c r="K20" s="38"/>
      <c r="L20" s="95"/>
      <c r="M20" s="225">
        <f>SUM(M15:M19)</f>
        <v>0</v>
      </c>
      <c r="N20" s="187">
        <f>SUM(N15:N19)</f>
        <v>0</v>
      </c>
      <c r="O20" s="192">
        <f>SUM(O15:O19)</f>
        <v>0</v>
      </c>
      <c r="P20" s="193">
        <f>SUM(P15:P19)</f>
        <v>0</v>
      </c>
      <c r="Q20" s="192">
        <f>SUM(Q15:Q19)</f>
        <v>0</v>
      </c>
      <c r="R20" s="220"/>
      <c r="S20" s="193">
        <f>SUM(S15:S19)</f>
        <v>0</v>
      </c>
      <c r="T20" s="193"/>
      <c r="U20" s="199">
        <f>SUM(U15:U19)</f>
        <v>0</v>
      </c>
      <c r="V20" s="199"/>
      <c r="W20" s="37">
        <f>SUM(W15:W19)</f>
        <v>0</v>
      </c>
      <c r="X20" s="232"/>
      <c r="Y20" s="132">
        <f>SUM(Y15:Y19)</f>
        <v>0</v>
      </c>
      <c r="AA20" s="194"/>
    </row>
    <row r="21" spans="1:30" x14ac:dyDescent="0.25">
      <c r="A21" s="28">
        <v>6</v>
      </c>
      <c r="B21" s="279" t="s">
        <v>42</v>
      </c>
      <c r="C21" s="40" t="s">
        <v>43</v>
      </c>
      <c r="D21" s="33">
        <v>9</v>
      </c>
      <c r="F21" s="53">
        <v>204113</v>
      </c>
      <c r="G21" s="54">
        <f>F21/$G$8</f>
        <v>113396.11111111111</v>
      </c>
      <c r="H21" s="54">
        <f>G21*$H$8</f>
        <v>22679.222222222223</v>
      </c>
      <c r="I21" s="54">
        <f t="shared" ref="I21:I24" si="8">G21+H21</f>
        <v>136075.33333333334</v>
      </c>
      <c r="J21" s="25"/>
      <c r="K21" s="61" t="s">
        <v>1</v>
      </c>
      <c r="L21" s="95"/>
      <c r="M21" s="224">
        <v>204113</v>
      </c>
      <c r="N21" s="186">
        <f>IF(K21="AMF",G21,"")</f>
        <v>113396.11111111111</v>
      </c>
      <c r="O21" s="205">
        <f t="shared" ref="O21:O24" si="9">N21*$O$4</f>
        <v>209782.80555555556</v>
      </c>
      <c r="P21" s="201">
        <f t="shared" ref="P21:P24" si="10">(ROUNDUP(N21/500,0))*500</f>
        <v>113500</v>
      </c>
      <c r="Q21" s="205">
        <f t="shared" ref="Q21:Q24" si="11">P21*$O$4</f>
        <v>209975</v>
      </c>
      <c r="R21" s="219"/>
      <c r="S21" s="201">
        <f>IF(K21="AMF",H21,"")</f>
        <v>22679.222222222223</v>
      </c>
      <c r="T21" s="191">
        <f t="shared" ref="T21:T24" si="12">S21*$O$4</f>
        <v>41956.561111111114</v>
      </c>
      <c r="U21" s="182">
        <f t="shared" si="5"/>
        <v>102056.5</v>
      </c>
      <c r="V21" s="182">
        <f t="shared" ref="V21:V24" si="13">P21*0.9</f>
        <v>102150</v>
      </c>
      <c r="W21" s="41">
        <f>IF(N21="","",N21-U21)</f>
        <v>11339.611111111109</v>
      </c>
      <c r="X21" s="231"/>
      <c r="Y21" s="131">
        <f t="shared" si="7"/>
        <v>34018.833333333328</v>
      </c>
      <c r="AA21" s="201">
        <f>N21*AA6</f>
        <v>17009.416666666664</v>
      </c>
      <c r="AB21" s="204">
        <v>10.692349999999999</v>
      </c>
      <c r="AC21" s="204">
        <v>-11.071175999999999</v>
      </c>
      <c r="AD21" s="179" t="s">
        <v>159</v>
      </c>
    </row>
    <row r="22" spans="1:30" x14ac:dyDescent="0.25">
      <c r="A22" s="28">
        <v>7</v>
      </c>
      <c r="B22" s="279"/>
      <c r="C22" s="40" t="s">
        <v>44</v>
      </c>
      <c r="D22" s="33">
        <v>8</v>
      </c>
      <c r="F22" s="53">
        <v>251798</v>
      </c>
      <c r="G22" s="54">
        <f>F22/$G$8</f>
        <v>139887.77777777778</v>
      </c>
      <c r="H22" s="54">
        <f>G22*$H$8</f>
        <v>27977.555555555558</v>
      </c>
      <c r="I22" s="54">
        <f t="shared" si="8"/>
        <v>167865.33333333334</v>
      </c>
      <c r="J22" s="25"/>
      <c r="K22" s="61" t="s">
        <v>1</v>
      </c>
      <c r="L22" s="95"/>
      <c r="M22" s="224">
        <v>251798</v>
      </c>
      <c r="N22" s="186">
        <f>IF(K22="AMF",G22,"")</f>
        <v>139887.77777777778</v>
      </c>
      <c r="O22" s="205">
        <f t="shared" si="9"/>
        <v>258792.38888888891</v>
      </c>
      <c r="P22" s="201">
        <f t="shared" si="10"/>
        <v>140000</v>
      </c>
      <c r="Q22" s="205">
        <f t="shared" si="11"/>
        <v>259000</v>
      </c>
      <c r="R22" s="219"/>
      <c r="S22" s="201">
        <f>IF(K22="AMF",H22,"")</f>
        <v>27977.555555555558</v>
      </c>
      <c r="T22" s="191">
        <f t="shared" si="12"/>
        <v>51758.477777777785</v>
      </c>
      <c r="U22" s="182">
        <f t="shared" si="5"/>
        <v>125899</v>
      </c>
      <c r="V22" s="182">
        <f t="shared" si="13"/>
        <v>126000</v>
      </c>
      <c r="W22" s="41">
        <f>IF(N22="","",N22-U22)</f>
        <v>13988.777777777781</v>
      </c>
      <c r="X22" s="231"/>
      <c r="Y22" s="131">
        <f t="shared" si="7"/>
        <v>41966.333333333343</v>
      </c>
      <c r="AA22" s="201">
        <f>N22*AA6</f>
        <v>20983.166666666668</v>
      </c>
      <c r="AB22" s="204">
        <v>11.186467</v>
      </c>
      <c r="AC22" s="204">
        <v>-14.100133</v>
      </c>
      <c r="AD22" s="179" t="s">
        <v>160</v>
      </c>
    </row>
    <row r="23" spans="1:30" x14ac:dyDescent="0.25">
      <c r="A23" s="28">
        <v>8</v>
      </c>
      <c r="B23" s="279"/>
      <c r="C23" s="40" t="s">
        <v>45</v>
      </c>
      <c r="D23" s="33">
        <v>12</v>
      </c>
      <c r="F23" s="53">
        <v>270066</v>
      </c>
      <c r="G23" s="54">
        <f>F23/$G$8</f>
        <v>150036.66666666666</v>
      </c>
      <c r="H23" s="54">
        <f>G23*$H$8</f>
        <v>30007.333333333332</v>
      </c>
      <c r="I23" s="54">
        <f t="shared" si="8"/>
        <v>180044</v>
      </c>
      <c r="J23" s="25"/>
      <c r="K23" s="61" t="s">
        <v>1</v>
      </c>
      <c r="L23" s="95"/>
      <c r="M23" s="224">
        <v>270066</v>
      </c>
      <c r="N23" s="186">
        <f>IF(K23="AMF",G23,"")</f>
        <v>150036.66666666666</v>
      </c>
      <c r="O23" s="205">
        <f t="shared" si="9"/>
        <v>277567.83333333331</v>
      </c>
      <c r="P23" s="201">
        <f>(ROUNDUP(N23/500,0))*500-250</f>
        <v>150250</v>
      </c>
      <c r="Q23" s="205">
        <f t="shared" si="11"/>
        <v>277962.5</v>
      </c>
      <c r="R23" s="219"/>
      <c r="S23" s="201">
        <f>IF(K23="AMF",H23,"")</f>
        <v>30007.333333333332</v>
      </c>
      <c r="T23" s="191">
        <f t="shared" si="12"/>
        <v>55513.566666666666</v>
      </c>
      <c r="U23" s="182">
        <f t="shared" si="5"/>
        <v>135033</v>
      </c>
      <c r="V23" s="182">
        <f t="shared" si="13"/>
        <v>135225</v>
      </c>
      <c r="W23" s="41">
        <f>IF(N23="","",N23-U23)</f>
        <v>15003.666666666657</v>
      </c>
      <c r="X23" s="231"/>
      <c r="Y23" s="131">
        <f t="shared" si="7"/>
        <v>45010.999999999985</v>
      </c>
      <c r="AA23" s="201">
        <f>N23*AA6</f>
        <v>22505.499999999996</v>
      </c>
      <c r="AB23" s="204">
        <v>9.9057399999999998</v>
      </c>
      <c r="AC23" s="204">
        <v>-10.800005000000001</v>
      </c>
      <c r="AD23" s="179" t="s">
        <v>161</v>
      </c>
    </row>
    <row r="24" spans="1:30" ht="16.5" thickBot="1" x14ac:dyDescent="0.3">
      <c r="A24" s="28">
        <v>9</v>
      </c>
      <c r="B24" s="279"/>
      <c r="C24" s="40" t="s">
        <v>46</v>
      </c>
      <c r="D24" s="33">
        <v>13</v>
      </c>
      <c r="F24" s="53">
        <v>378953</v>
      </c>
      <c r="G24" s="54">
        <f>F24/$G$8</f>
        <v>210529.44444444444</v>
      </c>
      <c r="H24" s="54">
        <f>G24*$H$8</f>
        <v>42105.888888888891</v>
      </c>
      <c r="I24" s="54">
        <f t="shared" si="8"/>
        <v>252635.33333333331</v>
      </c>
      <c r="J24" s="25"/>
      <c r="K24" s="61" t="s">
        <v>1</v>
      </c>
      <c r="L24" s="95"/>
      <c r="M24" s="224">
        <v>378953</v>
      </c>
      <c r="N24" s="186">
        <f>IF(K24="AMF",G24,"")</f>
        <v>210529.44444444444</v>
      </c>
      <c r="O24" s="205">
        <f t="shared" si="9"/>
        <v>389479.47222222225</v>
      </c>
      <c r="P24" s="201">
        <f t="shared" si="10"/>
        <v>211000</v>
      </c>
      <c r="Q24" s="205">
        <f t="shared" si="11"/>
        <v>390350</v>
      </c>
      <c r="R24" s="219"/>
      <c r="S24" s="201">
        <f>IF(K24="AMF",H24,"")</f>
        <v>42105.888888888891</v>
      </c>
      <c r="T24" s="191">
        <f t="shared" si="12"/>
        <v>77895.89444444445</v>
      </c>
      <c r="U24" s="182">
        <f t="shared" si="5"/>
        <v>189476.5</v>
      </c>
      <c r="V24" s="182">
        <f t="shared" si="13"/>
        <v>189900</v>
      </c>
      <c r="W24" s="41">
        <f>IF(N24="","",N24-U24)</f>
        <v>21052.944444444438</v>
      </c>
      <c r="X24" s="231"/>
      <c r="Y24" s="131">
        <f t="shared" si="7"/>
        <v>63158.833333333328</v>
      </c>
      <c r="AA24" s="201">
        <f>N24*AA6</f>
        <v>31579.416666666664</v>
      </c>
      <c r="AB24" s="204">
        <v>9.2252019999999995</v>
      </c>
      <c r="AC24" s="204">
        <v>-10.080730000000001</v>
      </c>
      <c r="AD24" s="179" t="s">
        <v>162</v>
      </c>
    </row>
    <row r="25" spans="1:30" ht="16.5" thickBot="1" x14ac:dyDescent="0.3">
      <c r="B25" s="279"/>
      <c r="C25" s="36" t="s">
        <v>111</v>
      </c>
      <c r="D25" s="36">
        <f>SUM(D21:D24)</f>
        <v>42</v>
      </c>
      <c r="F25" s="55">
        <f>SUM(F21:F24)</f>
        <v>1104930</v>
      </c>
      <c r="G25" s="56">
        <f>SUM(G21:G24)</f>
        <v>613850</v>
      </c>
      <c r="H25" s="56">
        <f>SUM(H21:H24)</f>
        <v>122770</v>
      </c>
      <c r="I25" s="56">
        <f>SUM(I21:I24)</f>
        <v>736620</v>
      </c>
      <c r="J25" s="25"/>
      <c r="K25" s="38"/>
      <c r="L25" s="95"/>
      <c r="M25" s="225">
        <f>SUM(M21:M24)</f>
        <v>1104930</v>
      </c>
      <c r="N25" s="187">
        <f>SUM(N21:N24)</f>
        <v>613850</v>
      </c>
      <c r="O25" s="196">
        <f>SUM(O21:O24)</f>
        <v>1135622.5</v>
      </c>
      <c r="P25" s="233">
        <f>SUM(P21:P24)</f>
        <v>614750</v>
      </c>
      <c r="Q25" s="196">
        <f>SUM(Q21:Q24)</f>
        <v>1137287.5</v>
      </c>
      <c r="R25" s="220"/>
      <c r="S25" s="193">
        <f>SUM(S21:S24)</f>
        <v>122770</v>
      </c>
      <c r="T25" s="196">
        <f>SUM(T21:T24)</f>
        <v>227124.5</v>
      </c>
      <c r="U25" s="199">
        <f>SUM(U21:U24)</f>
        <v>552465</v>
      </c>
      <c r="V25" s="234">
        <f>SUM(V21:V24)</f>
        <v>553275</v>
      </c>
      <c r="W25" s="37">
        <f>SUM(W21:W24)</f>
        <v>61384.999999999985</v>
      </c>
      <c r="X25" s="232"/>
      <c r="Y25" s="132">
        <f>SUM(Y21:Y24)</f>
        <v>184155</v>
      </c>
      <c r="AA25" s="193">
        <f>SUM(AA21:AA24)</f>
        <v>92077.5</v>
      </c>
      <c r="AB25" s="198">
        <v>10.258702</v>
      </c>
      <c r="AC25" s="198">
        <v>-10.800005000000001</v>
      </c>
      <c r="AD25" s="179" t="s">
        <v>150</v>
      </c>
    </row>
    <row r="26" spans="1:30" x14ac:dyDescent="0.25">
      <c r="A26" s="28">
        <v>10</v>
      </c>
      <c r="B26" s="279" t="s">
        <v>48</v>
      </c>
      <c r="C26" s="40" t="s">
        <v>49</v>
      </c>
      <c r="D26" s="33">
        <v>13</v>
      </c>
      <c r="F26" s="53">
        <v>544040</v>
      </c>
      <c r="G26" s="54">
        <f>F26/$G$8</f>
        <v>302244.44444444444</v>
      </c>
      <c r="H26" s="54">
        <f>G26*$H$8</f>
        <v>60448.888888888891</v>
      </c>
      <c r="I26" s="54">
        <f t="shared" ref="I26:I30" si="14">G26+H26</f>
        <v>362693.33333333331</v>
      </c>
      <c r="J26" s="25"/>
      <c r="K26" s="61" t="s">
        <v>1</v>
      </c>
      <c r="L26" s="95"/>
      <c r="M26" s="224">
        <v>544040</v>
      </c>
      <c r="N26" s="186">
        <f>IF(K26="AMF",G26,"")</f>
        <v>302244.44444444444</v>
      </c>
      <c r="O26" s="205">
        <f t="shared" ref="O26:O30" si="15">N26*$O$4</f>
        <v>559152.22222222225</v>
      </c>
      <c r="P26" s="201">
        <f t="shared" ref="P26:P30" si="16">(ROUNDUP(N26/500,0))*500</f>
        <v>302500</v>
      </c>
      <c r="Q26" s="205">
        <f t="shared" ref="Q26:Q30" si="17">P26*$O$4</f>
        <v>559625</v>
      </c>
      <c r="R26" s="219"/>
      <c r="S26" s="201">
        <f>IF(K26="AMF",H26,"")</f>
        <v>60448.888888888891</v>
      </c>
      <c r="T26" s="191">
        <f t="shared" ref="T26:T30" si="18">S26*$O$4</f>
        <v>111830.44444444445</v>
      </c>
      <c r="U26" s="182">
        <f t="shared" si="5"/>
        <v>272020</v>
      </c>
      <c r="V26" s="182">
        <f t="shared" ref="V26:V30" si="19">P26*0.9</f>
        <v>272250</v>
      </c>
      <c r="W26" s="41">
        <f>IF(N26="","",N26-U26)</f>
        <v>30224.444444444438</v>
      </c>
      <c r="X26" s="231"/>
      <c r="Y26" s="131">
        <f t="shared" si="7"/>
        <v>90673.333333333328</v>
      </c>
      <c r="AA26" s="201">
        <f>N26*AA6</f>
        <v>45336.666666666664</v>
      </c>
      <c r="AB26" s="204">
        <v>10.303445999999999</v>
      </c>
      <c r="AC26" s="204">
        <v>-9.3673079999999995</v>
      </c>
      <c r="AD26" s="179" t="s">
        <v>163</v>
      </c>
    </row>
    <row r="27" spans="1:30" x14ac:dyDescent="0.25">
      <c r="A27" s="28">
        <v>11</v>
      </c>
      <c r="B27" s="279"/>
      <c r="C27" s="40" t="s">
        <v>50</v>
      </c>
      <c r="D27" s="33">
        <v>8</v>
      </c>
      <c r="F27" s="53">
        <v>273183</v>
      </c>
      <c r="G27" s="54">
        <f>F27/$G$8</f>
        <v>151768.33333333334</v>
      </c>
      <c r="H27" s="54">
        <f>G27*$H$8</f>
        <v>30353.666666666672</v>
      </c>
      <c r="I27" s="54">
        <f t="shared" si="14"/>
        <v>182122</v>
      </c>
      <c r="J27" s="25"/>
      <c r="K27" s="61" t="s">
        <v>1</v>
      </c>
      <c r="L27" s="95"/>
      <c r="M27" s="224">
        <v>273183</v>
      </c>
      <c r="N27" s="186">
        <f>IF(K27="AMF",G27,"")</f>
        <v>151768.33333333334</v>
      </c>
      <c r="O27" s="205">
        <f t="shared" si="15"/>
        <v>280771.41666666669</v>
      </c>
      <c r="P27" s="201">
        <f t="shared" si="16"/>
        <v>152000</v>
      </c>
      <c r="Q27" s="205">
        <f t="shared" si="17"/>
        <v>281200</v>
      </c>
      <c r="R27" s="219"/>
      <c r="S27" s="201">
        <f>IF(K27="AMF",H27,"")</f>
        <v>30353.666666666672</v>
      </c>
      <c r="T27" s="191">
        <f t="shared" si="18"/>
        <v>56154.283333333347</v>
      </c>
      <c r="U27" s="182">
        <f t="shared" si="5"/>
        <v>136591.5</v>
      </c>
      <c r="V27" s="182">
        <f t="shared" si="19"/>
        <v>136800</v>
      </c>
      <c r="W27" s="41">
        <f>IF(N27="","",N27-U27)</f>
        <v>15176.833333333343</v>
      </c>
      <c r="X27" s="231"/>
      <c r="Y27" s="131">
        <f t="shared" si="7"/>
        <v>45530.500000000015</v>
      </c>
      <c r="AA27" s="201">
        <f>N27*AA6</f>
        <v>22765.25</v>
      </c>
      <c r="AB27" s="204">
        <v>9.2536640000000006</v>
      </c>
      <c r="AC27" s="204">
        <v>-9.012893</v>
      </c>
      <c r="AD27" s="179" t="s">
        <v>164</v>
      </c>
    </row>
    <row r="28" spans="1:30" x14ac:dyDescent="0.25">
      <c r="A28" s="28">
        <v>12</v>
      </c>
      <c r="B28" s="279"/>
      <c r="C28" s="40" t="s">
        <v>51</v>
      </c>
      <c r="D28" s="33">
        <v>12</v>
      </c>
      <c r="F28" s="53">
        <v>275036</v>
      </c>
      <c r="G28" s="54">
        <f>F28/$G$8</f>
        <v>152797.77777777778</v>
      </c>
      <c r="H28" s="54">
        <f>G28*$H$8</f>
        <v>30559.555555555558</v>
      </c>
      <c r="I28" s="54">
        <f t="shared" si="14"/>
        <v>183357.33333333334</v>
      </c>
      <c r="J28" s="25"/>
      <c r="K28" s="61" t="s">
        <v>1</v>
      </c>
      <c r="L28" s="95"/>
      <c r="M28" s="224">
        <v>275036</v>
      </c>
      <c r="N28" s="186">
        <f>IF(K28="AMF",G28,"")</f>
        <v>152797.77777777778</v>
      </c>
      <c r="O28" s="205">
        <f t="shared" si="15"/>
        <v>282675.88888888893</v>
      </c>
      <c r="P28" s="201">
        <f t="shared" si="16"/>
        <v>153000</v>
      </c>
      <c r="Q28" s="205">
        <f t="shared" si="17"/>
        <v>283050</v>
      </c>
      <c r="R28" s="219"/>
      <c r="S28" s="201">
        <f>IF(K28="AMF",H28,"")</f>
        <v>30559.555555555558</v>
      </c>
      <c r="T28" s="191">
        <f t="shared" si="18"/>
        <v>56535.177777777782</v>
      </c>
      <c r="U28" s="182">
        <f t="shared" si="5"/>
        <v>137518</v>
      </c>
      <c r="V28" s="182">
        <f t="shared" si="19"/>
        <v>137700</v>
      </c>
      <c r="W28" s="41">
        <f>IF(N28="","",N28-U28)</f>
        <v>15279.777777777781</v>
      </c>
      <c r="X28" s="231"/>
      <c r="Y28" s="131">
        <f t="shared" si="7"/>
        <v>45839.333333333343</v>
      </c>
      <c r="AA28" s="201">
        <f>N28*AA6</f>
        <v>22919.666666666668</v>
      </c>
      <c r="AB28" s="204">
        <v>10.981496</v>
      </c>
      <c r="AC28" s="204">
        <v>-10.439655999999999</v>
      </c>
      <c r="AD28" s="179" t="s">
        <v>165</v>
      </c>
    </row>
    <row r="29" spans="1:30" x14ac:dyDescent="0.25">
      <c r="A29" s="28">
        <v>13</v>
      </c>
      <c r="B29" s="279"/>
      <c r="C29" s="40" t="s">
        <v>52</v>
      </c>
      <c r="D29" s="33">
        <v>12</v>
      </c>
      <c r="F29" s="53">
        <v>322941</v>
      </c>
      <c r="G29" s="54">
        <f>F29/$G$8</f>
        <v>179411.66666666666</v>
      </c>
      <c r="H29" s="54">
        <f>G29*$H$8</f>
        <v>35882.333333333336</v>
      </c>
      <c r="I29" s="54">
        <f t="shared" si="14"/>
        <v>215294</v>
      </c>
      <c r="J29" s="25"/>
      <c r="K29" s="61" t="s">
        <v>1</v>
      </c>
      <c r="L29" s="95"/>
      <c r="M29" s="224">
        <v>322941</v>
      </c>
      <c r="N29" s="186">
        <f>IF(K29="AMF",G29,"")</f>
        <v>179411.66666666666</v>
      </c>
      <c r="O29" s="205">
        <f t="shared" si="15"/>
        <v>331911.58333333331</v>
      </c>
      <c r="P29" s="201">
        <f t="shared" si="16"/>
        <v>179500</v>
      </c>
      <c r="Q29" s="205">
        <f t="shared" si="17"/>
        <v>332075</v>
      </c>
      <c r="R29" s="219"/>
      <c r="S29" s="201">
        <f>IF(K29="AMF",H29,"")</f>
        <v>35882.333333333336</v>
      </c>
      <c r="T29" s="191">
        <f t="shared" si="18"/>
        <v>66382.31666666668</v>
      </c>
      <c r="U29" s="182">
        <f t="shared" si="5"/>
        <v>161470.5</v>
      </c>
      <c r="V29" s="182">
        <f t="shared" si="19"/>
        <v>161550</v>
      </c>
      <c r="W29" s="41">
        <f>IF(N29="","",N29-U29)</f>
        <v>17941.166666666657</v>
      </c>
      <c r="X29" s="231"/>
      <c r="Y29" s="131">
        <f t="shared" si="7"/>
        <v>53823.499999999993</v>
      </c>
      <c r="AA29" s="201">
        <f>N29*AA6</f>
        <v>26911.749999999996</v>
      </c>
      <c r="AB29" s="204">
        <v>10.679722999999999</v>
      </c>
      <c r="AC29" s="204">
        <v>-8.6600590000000004</v>
      </c>
      <c r="AD29" s="179" t="s">
        <v>166</v>
      </c>
    </row>
    <row r="30" spans="1:30" ht="16.5" thickBot="1" x14ac:dyDescent="0.3">
      <c r="A30" s="28">
        <v>14</v>
      </c>
      <c r="B30" s="279"/>
      <c r="C30" s="40" t="s">
        <v>53</v>
      </c>
      <c r="D30" s="33">
        <v>13</v>
      </c>
      <c r="F30" s="53">
        <v>519151</v>
      </c>
      <c r="G30" s="54">
        <f>F30/$G$8</f>
        <v>288417.22222222219</v>
      </c>
      <c r="H30" s="54">
        <f>G30*$H$8</f>
        <v>57683.444444444438</v>
      </c>
      <c r="I30" s="54">
        <f t="shared" si="14"/>
        <v>346100.66666666663</v>
      </c>
      <c r="J30" s="25"/>
      <c r="K30" s="61" t="s">
        <v>1</v>
      </c>
      <c r="L30" s="95"/>
      <c r="M30" s="224">
        <v>519151</v>
      </c>
      <c r="N30" s="186">
        <f>IF(K30="AMF",G30,"")</f>
        <v>288417.22222222219</v>
      </c>
      <c r="O30" s="205">
        <f t="shared" si="15"/>
        <v>533571.86111111112</v>
      </c>
      <c r="P30" s="201">
        <f t="shared" si="16"/>
        <v>288500</v>
      </c>
      <c r="Q30" s="205">
        <f t="shared" si="17"/>
        <v>533725</v>
      </c>
      <c r="R30" s="219"/>
      <c r="S30" s="201">
        <f>IF(K30="AMF",H30,"")</f>
        <v>57683.444444444438</v>
      </c>
      <c r="T30" s="191">
        <f t="shared" si="18"/>
        <v>106714.37222222221</v>
      </c>
      <c r="U30" s="182">
        <f t="shared" si="5"/>
        <v>259575.49999999997</v>
      </c>
      <c r="V30" s="182">
        <f t="shared" si="19"/>
        <v>259650</v>
      </c>
      <c r="W30" s="41">
        <f>IF(N30="","",N30-U30)</f>
        <v>28841.722222222219</v>
      </c>
      <c r="X30" s="231"/>
      <c r="Y30" s="131">
        <f t="shared" si="7"/>
        <v>86525.166666666657</v>
      </c>
      <c r="AA30" s="201">
        <f>N30*AA6</f>
        <v>43262.583333333328</v>
      </c>
      <c r="AB30" s="204">
        <v>11.735056999999999</v>
      </c>
      <c r="AC30" s="204">
        <v>-9.3673079999999995</v>
      </c>
      <c r="AD30" s="179" t="s">
        <v>167</v>
      </c>
    </row>
    <row r="31" spans="1:30" ht="16.5" thickBot="1" x14ac:dyDescent="0.3">
      <c r="B31" s="279"/>
      <c r="C31" s="36" t="s">
        <v>111</v>
      </c>
      <c r="D31" s="36">
        <f>SUM(D26:D30)</f>
        <v>58</v>
      </c>
      <c r="F31" s="55">
        <f>SUM(F26:F30)</f>
        <v>1934351</v>
      </c>
      <c r="G31" s="56">
        <f>SUM(G26:G30)</f>
        <v>1074639.4444444443</v>
      </c>
      <c r="H31" s="56">
        <f>SUM(H26:H30)</f>
        <v>214927.88888888891</v>
      </c>
      <c r="I31" s="56">
        <f>SUM(I26:I30)</f>
        <v>1289567.3333333333</v>
      </c>
      <c r="J31" s="25"/>
      <c r="K31" s="38"/>
      <c r="L31" s="95"/>
      <c r="M31" s="225">
        <f>SUM(M26:M30)</f>
        <v>1934351</v>
      </c>
      <c r="N31" s="187">
        <f>SUM(N26:N30)</f>
        <v>1074639.4444444443</v>
      </c>
      <c r="O31" s="196">
        <f>SUM(O26:O30)</f>
        <v>1988082.9722222225</v>
      </c>
      <c r="P31" s="233">
        <f>SUM(P26:P30)</f>
        <v>1075500</v>
      </c>
      <c r="Q31" s="196">
        <f>SUM(Q26:Q30)</f>
        <v>1989675</v>
      </c>
      <c r="R31" s="220"/>
      <c r="S31" s="193">
        <f>SUM(S26:S30)</f>
        <v>214927.88888888891</v>
      </c>
      <c r="T31" s="196">
        <f>SUM(T27:T30)</f>
        <v>285786.15000000002</v>
      </c>
      <c r="U31" s="199">
        <f>SUM(U26:U30)</f>
        <v>967175.5</v>
      </c>
      <c r="V31" s="234">
        <f>SUM(V26:V30)</f>
        <v>967950</v>
      </c>
      <c r="W31" s="37">
        <f>SUM(W26:W30)</f>
        <v>107463.94444444444</v>
      </c>
      <c r="X31" s="232"/>
      <c r="Y31" s="132">
        <f>SUM(Y26:Y30)</f>
        <v>322391.83333333337</v>
      </c>
      <c r="AA31" s="193">
        <f>SUM(AA26:AA30)</f>
        <v>161195.91666666666</v>
      </c>
      <c r="AB31" s="198">
        <v>10.120922999999999</v>
      </c>
      <c r="AC31" s="198">
        <v>-9.5450970000000002</v>
      </c>
      <c r="AD31" s="179" t="s">
        <v>151</v>
      </c>
    </row>
    <row r="32" spans="1:30" x14ac:dyDescent="0.25">
      <c r="B32" s="257" t="s">
        <v>55</v>
      </c>
      <c r="C32" s="40" t="s">
        <v>56</v>
      </c>
      <c r="D32" s="33"/>
      <c r="F32" s="59">
        <v>156064</v>
      </c>
      <c r="G32" s="54">
        <f>F32/$G$8</f>
        <v>86702.222222222219</v>
      </c>
      <c r="H32" s="54">
        <f>G32*$H$8</f>
        <v>17340.444444444445</v>
      </c>
      <c r="I32" s="54">
        <f t="shared" ref="I32:I36" si="20">G32+H32</f>
        <v>104042.66666666666</v>
      </c>
      <c r="J32" s="25"/>
      <c r="K32" s="63" t="s">
        <v>40</v>
      </c>
      <c r="L32" s="95"/>
      <c r="M32" s="227"/>
      <c r="N32" s="186" t="str">
        <f>IF(K32="AMF",I32,"")</f>
        <v/>
      </c>
      <c r="O32" s="191"/>
      <c r="P32" s="201" t="str">
        <f>IF(M32="AMF",K32,"")</f>
        <v/>
      </c>
      <c r="Q32" s="191"/>
      <c r="R32" s="219"/>
      <c r="S32" s="201" t="str">
        <f>IF(K32="AMF",H32,"")</f>
        <v/>
      </c>
      <c r="T32" s="201"/>
      <c r="U32" s="182" t="str">
        <f t="shared" si="5"/>
        <v/>
      </c>
      <c r="V32" s="182"/>
      <c r="W32" s="41" t="str">
        <f>IF(N32="","",N32-U32)</f>
        <v/>
      </c>
      <c r="X32" s="231"/>
      <c r="Y32" s="131" t="str">
        <f t="shared" si="7"/>
        <v/>
      </c>
      <c r="AA32" s="194"/>
    </row>
    <row r="33" spans="1:30" x14ac:dyDescent="0.25">
      <c r="B33" s="257"/>
      <c r="C33" s="40" t="s">
        <v>57</v>
      </c>
      <c r="D33" s="33"/>
      <c r="F33" s="59">
        <v>240723</v>
      </c>
      <c r="G33" s="54">
        <f>F33/$G$8</f>
        <v>133735</v>
      </c>
      <c r="H33" s="54">
        <f>G33*$H$8</f>
        <v>26747</v>
      </c>
      <c r="I33" s="54">
        <f t="shared" si="20"/>
        <v>160482</v>
      </c>
      <c r="J33" s="25"/>
      <c r="K33" s="63" t="s">
        <v>40</v>
      </c>
      <c r="L33" s="95"/>
      <c r="M33" s="227"/>
      <c r="N33" s="186" t="str">
        <f>IF(K33="AMF",I33,"")</f>
        <v/>
      </c>
      <c r="O33" s="191"/>
      <c r="P33" s="201" t="str">
        <f>IF(M33="AMF",K33,"")</f>
        <v/>
      </c>
      <c r="Q33" s="191"/>
      <c r="R33" s="219"/>
      <c r="S33" s="201" t="str">
        <f>IF(K33="AMF",H33,"")</f>
        <v/>
      </c>
      <c r="T33" s="201"/>
      <c r="U33" s="182" t="str">
        <f t="shared" si="5"/>
        <v/>
      </c>
      <c r="V33" s="182"/>
      <c r="W33" s="41" t="str">
        <f>IF(N33="","",N33-U33)</f>
        <v/>
      </c>
      <c r="X33" s="231"/>
      <c r="Y33" s="131" t="str">
        <f t="shared" si="7"/>
        <v/>
      </c>
      <c r="AA33" s="194"/>
    </row>
    <row r="34" spans="1:30" x14ac:dyDescent="0.25">
      <c r="B34" s="257"/>
      <c r="C34" s="40" t="s">
        <v>58</v>
      </c>
      <c r="D34" s="33"/>
      <c r="F34" s="59">
        <v>358939</v>
      </c>
      <c r="G34" s="54">
        <f>F34/$G$8</f>
        <v>199410.55555555556</v>
      </c>
      <c r="H34" s="54">
        <f>G34*$H$8</f>
        <v>39882.111111111117</v>
      </c>
      <c r="I34" s="54">
        <f t="shared" si="20"/>
        <v>239292.66666666669</v>
      </c>
      <c r="J34" s="25"/>
      <c r="K34" s="63" t="s">
        <v>40</v>
      </c>
      <c r="L34" s="95"/>
      <c r="M34" s="227"/>
      <c r="N34" s="186" t="str">
        <f>IF(K34="AMF",I34,"")</f>
        <v/>
      </c>
      <c r="O34" s="191"/>
      <c r="P34" s="201" t="str">
        <f>IF(M34="AMF",K34,"")</f>
        <v/>
      </c>
      <c r="Q34" s="191"/>
      <c r="R34" s="219"/>
      <c r="S34" s="201" t="str">
        <f>IF(K34="AMF",H34,"")</f>
        <v/>
      </c>
      <c r="T34" s="201"/>
      <c r="U34" s="182" t="str">
        <f t="shared" si="5"/>
        <v/>
      </c>
      <c r="V34" s="182"/>
      <c r="W34" s="41" t="str">
        <f>IF(N34="","",N34-U34)</f>
        <v/>
      </c>
      <c r="X34" s="231"/>
      <c r="Y34" s="131" t="str">
        <f t="shared" si="7"/>
        <v/>
      </c>
      <c r="AA34" s="194"/>
    </row>
    <row r="35" spans="1:30" x14ac:dyDescent="0.25">
      <c r="B35" s="257"/>
      <c r="C35" s="40" t="s">
        <v>59</v>
      </c>
      <c r="D35" s="33"/>
      <c r="F35" s="59">
        <v>527151</v>
      </c>
      <c r="G35" s="54">
        <f>F35/$G$8</f>
        <v>292861.66666666669</v>
      </c>
      <c r="H35" s="54">
        <f>G35*$H$8</f>
        <v>58572.333333333343</v>
      </c>
      <c r="I35" s="54">
        <f t="shared" si="20"/>
        <v>351434</v>
      </c>
      <c r="J35" s="25"/>
      <c r="K35" s="63" t="s">
        <v>40</v>
      </c>
      <c r="L35" s="95"/>
      <c r="M35" s="227"/>
      <c r="N35" s="186" t="str">
        <f>IF(K35="AMF",I35,"")</f>
        <v/>
      </c>
      <c r="O35" s="191"/>
      <c r="P35" s="201" t="str">
        <f>IF(M35="AMF",K35,"")</f>
        <v/>
      </c>
      <c r="Q35" s="191"/>
      <c r="R35" s="219"/>
      <c r="S35" s="201" t="str">
        <f>IF(K35="AMF",H35,"")</f>
        <v/>
      </c>
      <c r="T35" s="201"/>
      <c r="U35" s="182" t="str">
        <f t="shared" si="5"/>
        <v/>
      </c>
      <c r="V35" s="182"/>
      <c r="W35" s="41" t="str">
        <f>IF(N35="","",N35-U35)</f>
        <v/>
      </c>
      <c r="X35" s="231"/>
      <c r="Y35" s="131" t="str">
        <f t="shared" si="7"/>
        <v/>
      </c>
      <c r="AA35" s="194"/>
    </row>
    <row r="36" spans="1:30" ht="16.5" thickBot="1" x14ac:dyDescent="0.3">
      <c r="B36" s="257"/>
      <c r="C36" s="40" t="s">
        <v>60</v>
      </c>
      <c r="D36" s="33"/>
      <c r="F36" s="59">
        <v>418588</v>
      </c>
      <c r="G36" s="54">
        <f>F36/$G$8</f>
        <v>232548.88888888888</v>
      </c>
      <c r="H36" s="54">
        <f>G36*$H$8</f>
        <v>46509.777777777781</v>
      </c>
      <c r="I36" s="54">
        <f t="shared" si="20"/>
        <v>279058.66666666663</v>
      </c>
      <c r="J36" s="25"/>
      <c r="K36" s="63" t="s">
        <v>40</v>
      </c>
      <c r="L36" s="95"/>
      <c r="M36" s="227"/>
      <c r="N36" s="186" t="str">
        <f>IF(K36="AMF",I36,"")</f>
        <v/>
      </c>
      <c r="O36" s="191"/>
      <c r="P36" s="201" t="str">
        <f>IF(M36="AMF",K36,"")</f>
        <v/>
      </c>
      <c r="Q36" s="191"/>
      <c r="R36" s="219"/>
      <c r="S36" s="201" t="str">
        <f>IF(K36="AMF",H36,"")</f>
        <v/>
      </c>
      <c r="T36" s="201"/>
      <c r="U36" s="182" t="str">
        <f t="shared" si="5"/>
        <v/>
      </c>
      <c r="V36" s="182"/>
      <c r="W36" s="41" t="str">
        <f>IF(N36="","",N36-U36)</f>
        <v/>
      </c>
      <c r="X36" s="231"/>
      <c r="Y36" s="131" t="str">
        <f t="shared" si="7"/>
        <v/>
      </c>
      <c r="AA36" s="194"/>
    </row>
    <row r="37" spans="1:30" ht="16.5" thickBot="1" x14ac:dyDescent="0.3">
      <c r="B37" s="257"/>
      <c r="C37" s="36" t="s">
        <v>111</v>
      </c>
      <c r="D37" s="237"/>
      <c r="F37" s="60">
        <f>SUM(F32:F36)</f>
        <v>1701465</v>
      </c>
      <c r="G37" s="56">
        <f>SUM(G32:G36)</f>
        <v>945258.33333333337</v>
      </c>
      <c r="H37" s="56">
        <f>SUM(H32:H36)</f>
        <v>189051.66666666669</v>
      </c>
      <c r="I37" s="56">
        <f>SUM(I32:I36)</f>
        <v>1134310</v>
      </c>
      <c r="J37" s="25"/>
      <c r="K37" s="162"/>
      <c r="L37" s="95"/>
      <c r="M37" s="228">
        <f>SUM(M32:M36)</f>
        <v>0</v>
      </c>
      <c r="N37" s="187">
        <f>SUM(N32:N36)</f>
        <v>0</v>
      </c>
      <c r="O37" s="192">
        <f>SUM(O32:O36)</f>
        <v>0</v>
      </c>
      <c r="P37" s="193">
        <f>SUM(P32:P36)</f>
        <v>0</v>
      </c>
      <c r="Q37" s="192">
        <f>SUM(Q32:Q36)</f>
        <v>0</v>
      </c>
      <c r="R37" s="220"/>
      <c r="S37" s="193">
        <f>SUM(S32:S36)</f>
        <v>0</v>
      </c>
      <c r="T37" s="193"/>
      <c r="U37" s="199">
        <f>SUM(U32:U36)</f>
        <v>0</v>
      </c>
      <c r="V37" s="199"/>
      <c r="W37" s="37">
        <f>SUM(W32:W36)</f>
        <v>0</v>
      </c>
      <c r="X37" s="232"/>
      <c r="Y37" s="132">
        <f>SUM(Y32:Y36)</f>
        <v>0</v>
      </c>
      <c r="AA37" s="194"/>
    </row>
    <row r="38" spans="1:30" ht="16.5" thickBot="1" x14ac:dyDescent="0.3">
      <c r="B38" s="257" t="s">
        <v>62</v>
      </c>
      <c r="C38" s="40" t="s">
        <v>63</v>
      </c>
      <c r="D38" s="33"/>
      <c r="F38" s="59">
        <v>169356</v>
      </c>
      <c r="G38" s="54">
        <f>F38/$G$8</f>
        <v>94086.666666666672</v>
      </c>
      <c r="H38" s="54">
        <f>G38*$H$8</f>
        <v>18817.333333333336</v>
      </c>
      <c r="I38" s="54">
        <f t="shared" ref="I38:I42" si="21">G38+H38</f>
        <v>112904</v>
      </c>
      <c r="J38" s="25"/>
      <c r="K38" s="92" t="s">
        <v>3</v>
      </c>
      <c r="L38" s="95"/>
      <c r="M38" s="227"/>
      <c r="N38" s="186" t="str">
        <f>IF(K38="AMF",I38,"")</f>
        <v/>
      </c>
      <c r="O38" s="191"/>
      <c r="P38" s="201" t="str">
        <f>IF(M38="AMF",K38,"")</f>
        <v/>
      </c>
      <c r="Q38" s="191"/>
      <c r="R38" s="219"/>
      <c r="S38" s="201" t="str">
        <f>IF(K38="AMF",H38,"")</f>
        <v/>
      </c>
      <c r="T38" s="201"/>
      <c r="U38" s="182" t="str">
        <f t="shared" si="5"/>
        <v/>
      </c>
      <c r="V38" s="182"/>
      <c r="W38" s="41" t="str">
        <f>IF(N38="","",N38-U38)</f>
        <v/>
      </c>
      <c r="X38" s="231"/>
      <c r="Y38" s="131" t="str">
        <f t="shared" si="7"/>
        <v/>
      </c>
      <c r="AA38" s="194"/>
    </row>
    <row r="39" spans="1:30" ht="16.5" thickBot="1" x14ac:dyDescent="0.3">
      <c r="B39" s="257"/>
      <c r="C39" s="40" t="s">
        <v>64</v>
      </c>
      <c r="D39" s="33"/>
      <c r="F39" s="59">
        <v>458370</v>
      </c>
      <c r="G39" s="54">
        <f>F39/$G$8</f>
        <v>254650</v>
      </c>
      <c r="H39" s="54">
        <f>G39*$H$8</f>
        <v>50930</v>
      </c>
      <c r="I39" s="54">
        <f t="shared" si="21"/>
        <v>305580</v>
      </c>
      <c r="J39" s="25"/>
      <c r="K39" s="91" t="s">
        <v>40</v>
      </c>
      <c r="L39" s="95"/>
      <c r="M39" s="227"/>
      <c r="N39" s="186" t="str">
        <f>IF(K39="AMF",I39,"")</f>
        <v/>
      </c>
      <c r="O39" s="191"/>
      <c r="P39" s="201" t="str">
        <f>IF(M39="AMF",K39,"")</f>
        <v/>
      </c>
      <c r="Q39" s="191"/>
      <c r="R39" s="219"/>
      <c r="S39" s="201" t="str">
        <f>IF(K39="AMF",H39,"")</f>
        <v/>
      </c>
      <c r="T39" s="201"/>
      <c r="U39" s="182" t="str">
        <f t="shared" si="5"/>
        <v/>
      </c>
      <c r="V39" s="182"/>
      <c r="W39" s="41" t="str">
        <f>IF(N39="","",N39-U39)</f>
        <v/>
      </c>
      <c r="X39" s="231"/>
      <c r="Y39" s="131" t="str">
        <f t="shared" si="7"/>
        <v/>
      </c>
      <c r="AA39" s="194"/>
    </row>
    <row r="40" spans="1:30" ht="16.5" thickBot="1" x14ac:dyDescent="0.3">
      <c r="B40" s="257"/>
      <c r="C40" s="40" t="s">
        <v>65</v>
      </c>
      <c r="D40" s="33"/>
      <c r="F40" s="59">
        <v>250928</v>
      </c>
      <c r="G40" s="54">
        <f>F40/$G$8</f>
        <v>139404.44444444444</v>
      </c>
      <c r="H40" s="54">
        <f>G40*$H$8</f>
        <v>27880.888888888891</v>
      </c>
      <c r="I40" s="54">
        <f t="shared" si="21"/>
        <v>167285.33333333331</v>
      </c>
      <c r="J40" s="25"/>
      <c r="K40" s="92" t="s">
        <v>3</v>
      </c>
      <c r="L40" s="95"/>
      <c r="M40" s="227"/>
      <c r="N40" s="186" t="str">
        <f>IF(K40="AMF",I40,"")</f>
        <v/>
      </c>
      <c r="O40" s="191"/>
      <c r="P40" s="201" t="str">
        <f>IF(M40="AMF",K40,"")</f>
        <v/>
      </c>
      <c r="Q40" s="191"/>
      <c r="R40" s="219"/>
      <c r="S40" s="201" t="str">
        <f>IF(K40="AMF",H40,"")</f>
        <v/>
      </c>
      <c r="T40" s="201"/>
      <c r="U40" s="182" t="str">
        <f t="shared" si="5"/>
        <v/>
      </c>
      <c r="V40" s="182"/>
      <c r="W40" s="41" t="str">
        <f>IF(N40="","",N40-U40)</f>
        <v/>
      </c>
      <c r="X40" s="231"/>
      <c r="Y40" s="131" t="str">
        <f t="shared" si="7"/>
        <v/>
      </c>
      <c r="AA40" s="194"/>
    </row>
    <row r="41" spans="1:30" ht="16.5" thickBot="1" x14ac:dyDescent="0.3">
      <c r="B41" s="257"/>
      <c r="C41" s="40" t="s">
        <v>66</v>
      </c>
      <c r="D41" s="33"/>
      <c r="F41" s="59">
        <v>373978</v>
      </c>
      <c r="G41" s="54">
        <f>F41/$G$8</f>
        <v>207765.55555555556</v>
      </c>
      <c r="H41" s="54">
        <f>G41*$H$8</f>
        <v>41553.111111111117</v>
      </c>
      <c r="I41" s="54">
        <f t="shared" si="21"/>
        <v>249318.66666666669</v>
      </c>
      <c r="J41" s="25"/>
      <c r="K41" s="91" t="s">
        <v>40</v>
      </c>
      <c r="L41" s="95"/>
      <c r="M41" s="227"/>
      <c r="N41" s="186" t="str">
        <f>IF(K41="AMF",I41,"")</f>
        <v/>
      </c>
      <c r="O41" s="191"/>
      <c r="P41" s="201" t="str">
        <f>IF(M41="AMF",K41,"")</f>
        <v/>
      </c>
      <c r="Q41" s="191"/>
      <c r="R41" s="219"/>
      <c r="S41" s="201" t="str">
        <f>IF(K41="AMF",H41,"")</f>
        <v/>
      </c>
      <c r="T41" s="201"/>
      <c r="U41" s="182" t="str">
        <f t="shared" si="5"/>
        <v/>
      </c>
      <c r="V41" s="182"/>
      <c r="W41" s="41" t="str">
        <f>IF(N41="","",N41-U41)</f>
        <v/>
      </c>
      <c r="X41" s="231"/>
      <c r="Y41" s="131" t="str">
        <f t="shared" si="7"/>
        <v/>
      </c>
      <c r="AA41" s="194"/>
    </row>
    <row r="42" spans="1:30" ht="16.5" thickBot="1" x14ac:dyDescent="0.3">
      <c r="B42" s="257"/>
      <c r="C42" s="40" t="s">
        <v>67</v>
      </c>
      <c r="D42" s="33"/>
      <c r="F42" s="59">
        <v>210135</v>
      </c>
      <c r="G42" s="54">
        <f>F42/$G$8</f>
        <v>116741.66666666666</v>
      </c>
      <c r="H42" s="54">
        <f>G42*$H$8</f>
        <v>23348.333333333332</v>
      </c>
      <c r="I42" s="54">
        <f t="shared" si="21"/>
        <v>140090</v>
      </c>
      <c r="J42" s="25"/>
      <c r="K42" s="92" t="s">
        <v>3</v>
      </c>
      <c r="L42" s="95"/>
      <c r="M42" s="227"/>
      <c r="N42" s="186" t="str">
        <f>IF(K42="AMF",I42,"")</f>
        <v/>
      </c>
      <c r="O42" s="191"/>
      <c r="P42" s="201" t="str">
        <f>IF(M42="AMF",K42,"")</f>
        <v/>
      </c>
      <c r="Q42" s="191"/>
      <c r="R42" s="219"/>
      <c r="S42" s="201" t="str">
        <f>IF(K42="AMF",H42,"")</f>
        <v/>
      </c>
      <c r="T42" s="201"/>
      <c r="U42" s="182" t="str">
        <f t="shared" si="5"/>
        <v/>
      </c>
      <c r="V42" s="182"/>
      <c r="W42" s="41" t="str">
        <f>IF(N42="","",N42-U42)</f>
        <v/>
      </c>
      <c r="X42" s="231"/>
      <c r="Y42" s="131" t="str">
        <f t="shared" si="7"/>
        <v/>
      </c>
      <c r="AA42" s="194"/>
    </row>
    <row r="43" spans="1:30" ht="16.5" thickBot="1" x14ac:dyDescent="0.3">
      <c r="B43" s="257"/>
      <c r="C43" s="36" t="s">
        <v>111</v>
      </c>
      <c r="D43" s="237"/>
      <c r="F43" s="60">
        <f>SUM(F38:F42)</f>
        <v>1462767</v>
      </c>
      <c r="G43" s="56">
        <f>SUM(G38:G42)</f>
        <v>812648.33333333337</v>
      </c>
      <c r="H43" s="56">
        <f>SUM(H38:H42)</f>
        <v>162529.66666666669</v>
      </c>
      <c r="I43" s="56">
        <f>SUM(I38:I42)</f>
        <v>975178</v>
      </c>
      <c r="J43" s="25"/>
      <c r="K43" s="43"/>
      <c r="L43" s="95"/>
      <c r="M43" s="228">
        <f>SUM(M38:M42)</f>
        <v>0</v>
      </c>
      <c r="N43" s="187">
        <f>SUM(N38:N42)</f>
        <v>0</v>
      </c>
      <c r="O43" s="192">
        <f>SUM(O38:O42)</f>
        <v>0</v>
      </c>
      <c r="P43" s="193">
        <f>SUM(P38:P42)</f>
        <v>0</v>
      </c>
      <c r="Q43" s="192">
        <f>SUM(Q38:Q42)</f>
        <v>0</v>
      </c>
      <c r="R43" s="220"/>
      <c r="S43" s="193">
        <f>SUM(S38:S42)</f>
        <v>0</v>
      </c>
      <c r="T43" s="193"/>
      <c r="U43" s="199">
        <f>SUM(U38:U42)</f>
        <v>0</v>
      </c>
      <c r="V43" s="199"/>
      <c r="W43" s="37">
        <f>SUM(W38:W42)</f>
        <v>0</v>
      </c>
      <c r="X43" s="232"/>
      <c r="Y43" s="132">
        <f>SUM(Y38:Y42)</f>
        <v>0</v>
      </c>
      <c r="AA43" s="194"/>
    </row>
    <row r="44" spans="1:30" x14ac:dyDescent="0.25">
      <c r="B44" s="257" t="s">
        <v>69</v>
      </c>
      <c r="C44" s="40" t="s">
        <v>70</v>
      </c>
      <c r="D44" s="33"/>
      <c r="F44" s="59">
        <v>251465</v>
      </c>
      <c r="G44" s="54">
        <f>F44/$G$8</f>
        <v>139702.77777777778</v>
      </c>
      <c r="H44" s="54">
        <f>G44*$H$8</f>
        <v>27940.555555555558</v>
      </c>
      <c r="I44" s="54">
        <f t="shared" ref="I44:I46" si="22">G44+H44</f>
        <v>167643.33333333334</v>
      </c>
      <c r="J44" s="25"/>
      <c r="K44" s="66" t="s">
        <v>4</v>
      </c>
      <c r="L44" s="95"/>
      <c r="M44" s="227"/>
      <c r="N44" s="186" t="str">
        <f>IF(K44="AMF",I44,"")</f>
        <v/>
      </c>
      <c r="O44" s="191"/>
      <c r="P44" s="201" t="str">
        <f>IF(M44="AMF",K44,"")</f>
        <v/>
      </c>
      <c r="Q44" s="191"/>
      <c r="R44" s="219"/>
      <c r="S44" s="201" t="str">
        <f>IF(K44="AMF",H44,"")</f>
        <v/>
      </c>
      <c r="T44" s="201"/>
      <c r="U44" s="182" t="str">
        <f t="shared" si="5"/>
        <v/>
      </c>
      <c r="V44" s="182"/>
      <c r="W44" s="41" t="str">
        <f>IF(N44="","",N44-U44)</f>
        <v/>
      </c>
      <c r="X44" s="231"/>
      <c r="Y44" s="131" t="str">
        <f t="shared" si="7"/>
        <v/>
      </c>
      <c r="AA44" s="194"/>
    </row>
    <row r="45" spans="1:30" x14ac:dyDescent="0.25">
      <c r="B45" s="257"/>
      <c r="C45" s="40" t="s">
        <v>71</v>
      </c>
      <c r="D45" s="33"/>
      <c r="F45" s="59">
        <v>433152</v>
      </c>
      <c r="G45" s="54">
        <f>F45/$G$8</f>
        <v>240640</v>
      </c>
      <c r="H45" s="54">
        <f>G45*$H$8</f>
        <v>48128</v>
      </c>
      <c r="I45" s="54">
        <f t="shared" si="22"/>
        <v>288768</v>
      </c>
      <c r="J45" s="25"/>
      <c r="K45" s="66" t="s">
        <v>4</v>
      </c>
      <c r="L45" s="95"/>
      <c r="M45" s="227"/>
      <c r="N45" s="186" t="str">
        <f>IF(K45="AMF",I45,"")</f>
        <v/>
      </c>
      <c r="O45" s="191"/>
      <c r="P45" s="201" t="str">
        <f>IF(M45="AMF",K45,"")</f>
        <v/>
      </c>
      <c r="Q45" s="191"/>
      <c r="R45" s="219"/>
      <c r="S45" s="201" t="str">
        <f>IF(K45="AMF",H45,"")</f>
        <v/>
      </c>
      <c r="T45" s="201"/>
      <c r="U45" s="182" t="str">
        <f t="shared" si="5"/>
        <v/>
      </c>
      <c r="V45" s="182"/>
      <c r="W45" s="41" t="str">
        <f>IF(N45="","",N45-U45)</f>
        <v/>
      </c>
      <c r="X45" s="231"/>
      <c r="Y45" s="131" t="str">
        <f t="shared" si="7"/>
        <v/>
      </c>
      <c r="AA45" s="194"/>
    </row>
    <row r="46" spans="1:30" ht="16.5" thickBot="1" x14ac:dyDescent="0.3">
      <c r="B46" s="257"/>
      <c r="C46" s="40" t="s">
        <v>72</v>
      </c>
      <c r="D46" s="33"/>
      <c r="F46" s="59">
        <v>440327</v>
      </c>
      <c r="G46" s="54">
        <f>F46/$G$8</f>
        <v>244626.11111111109</v>
      </c>
      <c r="H46" s="54">
        <f>G46*$H$8</f>
        <v>48925.222222222219</v>
      </c>
      <c r="I46" s="54">
        <f t="shared" si="22"/>
        <v>293551.33333333331</v>
      </c>
      <c r="J46" s="25"/>
      <c r="K46" s="63" t="s">
        <v>40</v>
      </c>
      <c r="L46" s="95"/>
      <c r="M46" s="227"/>
      <c r="N46" s="186" t="str">
        <f>IF(K46="AMF",I46,"")</f>
        <v/>
      </c>
      <c r="O46" s="191"/>
      <c r="P46" s="201" t="str">
        <f>IF(M46="AMF",K46,"")</f>
        <v/>
      </c>
      <c r="Q46" s="191"/>
      <c r="R46" s="219"/>
      <c r="S46" s="201" t="str">
        <f>IF(K46="AMF",H46,"")</f>
        <v/>
      </c>
      <c r="T46" s="201"/>
      <c r="U46" s="182" t="str">
        <f t="shared" si="5"/>
        <v/>
      </c>
      <c r="V46" s="182"/>
      <c r="W46" s="41" t="str">
        <f>IF(N46="","",N46-U46)</f>
        <v/>
      </c>
      <c r="X46" s="231"/>
      <c r="Y46" s="131" t="str">
        <f t="shared" si="7"/>
        <v/>
      </c>
      <c r="AA46" s="194"/>
    </row>
    <row r="47" spans="1:30" ht="16.5" thickBot="1" x14ac:dyDescent="0.3">
      <c r="B47" s="257"/>
      <c r="C47" s="36" t="s">
        <v>111</v>
      </c>
      <c r="D47" s="237"/>
      <c r="F47" s="55">
        <f>SUM(F44:F46)</f>
        <v>1124944</v>
      </c>
      <c r="G47" s="56">
        <f>SUM(G44:G46)</f>
        <v>624968.88888888888</v>
      </c>
      <c r="H47" s="56">
        <f>SUM(H44:H46)</f>
        <v>124993.77777777778</v>
      </c>
      <c r="I47" s="56">
        <f>SUM(I44:I46)</f>
        <v>749962.66666666674</v>
      </c>
      <c r="J47" s="25"/>
      <c r="K47" s="38"/>
      <c r="L47" s="95"/>
      <c r="M47" s="225">
        <f>SUM(M44:M46)</f>
        <v>0</v>
      </c>
      <c r="N47" s="187">
        <f>SUM(N44:N46)</f>
        <v>0</v>
      </c>
      <c r="O47" s="192">
        <f>SUM(O44:O46)</f>
        <v>0</v>
      </c>
      <c r="P47" s="193">
        <f>SUM(P44:P46)</f>
        <v>0</v>
      </c>
      <c r="Q47" s="192">
        <f>SUM(Q44:Q46)</f>
        <v>0</v>
      </c>
      <c r="R47" s="220"/>
      <c r="S47" s="193">
        <f>SUM(S44:S46)</f>
        <v>0</v>
      </c>
      <c r="T47" s="193"/>
      <c r="U47" s="199">
        <f>SUM(U44:U46)</f>
        <v>0</v>
      </c>
      <c r="V47" s="199"/>
      <c r="W47" s="37">
        <f>SUM(W44:W46)</f>
        <v>0</v>
      </c>
      <c r="X47" s="232"/>
      <c r="Y47" s="132">
        <f>SUM(Y44:Y46)</f>
        <v>0</v>
      </c>
      <c r="AA47" s="194"/>
    </row>
    <row r="48" spans="1:30" x14ac:dyDescent="0.25">
      <c r="A48" s="28">
        <v>15</v>
      </c>
      <c r="B48" s="279" t="s">
        <v>146</v>
      </c>
      <c r="C48" s="203" t="s">
        <v>153</v>
      </c>
      <c r="D48" s="238">
        <v>14</v>
      </c>
      <c r="F48" s="53">
        <v>295827</v>
      </c>
      <c r="G48" s="54">
        <f t="shared" ref="G48:G53" si="23">F48/$G$8</f>
        <v>164348.33333333334</v>
      </c>
      <c r="H48" s="54">
        <f t="shared" ref="H48:H53" si="24">G48*$H$8</f>
        <v>32869.666666666672</v>
      </c>
      <c r="I48" s="54">
        <f t="shared" ref="I48:I53" si="25">G48+H48</f>
        <v>197218</v>
      </c>
      <c r="J48" s="25"/>
      <c r="K48" s="61" t="s">
        <v>1</v>
      </c>
      <c r="L48" s="95"/>
      <c r="M48" s="224">
        <v>295827</v>
      </c>
      <c r="N48" s="186">
        <f t="shared" ref="N48:N53" si="26">IF(K48="AMF",G48,"")</f>
        <v>164348.33333333334</v>
      </c>
      <c r="O48" s="205">
        <f t="shared" ref="O48:O53" si="27">N48*$O$4</f>
        <v>304044.41666666669</v>
      </c>
      <c r="P48" s="201">
        <f t="shared" ref="P48:P53" si="28">(ROUNDUP(N48/500,0))*500</f>
        <v>164500</v>
      </c>
      <c r="Q48" s="205">
        <f t="shared" ref="Q48:Q53" si="29">P48*$O$4</f>
        <v>304325</v>
      </c>
      <c r="R48" s="219"/>
      <c r="S48" s="201">
        <f t="shared" ref="S48:S53" si="30">IF(K48="AMF",H48,"")</f>
        <v>32869.666666666672</v>
      </c>
      <c r="T48" s="191">
        <f t="shared" ref="T48:T53" si="31">S48*$O$4</f>
        <v>60808.883333333346</v>
      </c>
      <c r="U48" s="182">
        <f t="shared" si="5"/>
        <v>147913.5</v>
      </c>
      <c r="V48" s="182">
        <f t="shared" ref="V48:V53" si="32">P48*0.9</f>
        <v>148050</v>
      </c>
      <c r="W48" s="41">
        <f t="shared" ref="W48:W53" si="33">IF(N48="","",N48-U48)</f>
        <v>16434.833333333343</v>
      </c>
      <c r="X48" s="231"/>
      <c r="Y48" s="131">
        <f t="shared" si="7"/>
        <v>49304.500000000015</v>
      </c>
      <c r="AA48" s="201">
        <f>N48*AA6</f>
        <v>24652.25</v>
      </c>
      <c r="AB48" s="204">
        <v>8.9198179999999994</v>
      </c>
      <c r="AC48" s="204">
        <v>-8.3088440000000006</v>
      </c>
      <c r="AD48" s="179" t="s">
        <v>168</v>
      </c>
    </row>
    <row r="49" spans="1:30" x14ac:dyDescent="0.25">
      <c r="A49" s="28">
        <v>16</v>
      </c>
      <c r="B49" s="279"/>
      <c r="C49" s="40" t="s">
        <v>76</v>
      </c>
      <c r="D49" s="33">
        <v>10</v>
      </c>
      <c r="F49" s="53">
        <v>640726</v>
      </c>
      <c r="G49" s="54">
        <f t="shared" si="23"/>
        <v>355958.88888888888</v>
      </c>
      <c r="H49" s="54">
        <f t="shared" si="24"/>
        <v>71191.777777777781</v>
      </c>
      <c r="I49" s="54">
        <f t="shared" si="25"/>
        <v>427150.66666666663</v>
      </c>
      <c r="J49" s="25"/>
      <c r="K49" s="61" t="s">
        <v>1</v>
      </c>
      <c r="L49" s="95"/>
      <c r="M49" s="224">
        <v>640726</v>
      </c>
      <c r="N49" s="186">
        <f t="shared" si="26"/>
        <v>355958.88888888888</v>
      </c>
      <c r="O49" s="205">
        <f t="shared" si="27"/>
        <v>658523.9444444445</v>
      </c>
      <c r="P49" s="201">
        <f t="shared" si="28"/>
        <v>356000</v>
      </c>
      <c r="Q49" s="205">
        <f t="shared" si="29"/>
        <v>658600</v>
      </c>
      <c r="R49" s="219"/>
      <c r="S49" s="201">
        <f t="shared" si="30"/>
        <v>71191.777777777781</v>
      </c>
      <c r="T49" s="191">
        <f t="shared" si="31"/>
        <v>131704.7888888889</v>
      </c>
      <c r="U49" s="182">
        <f t="shared" si="5"/>
        <v>320363</v>
      </c>
      <c r="V49" s="182">
        <f t="shared" si="32"/>
        <v>320400</v>
      </c>
      <c r="W49" s="41">
        <f t="shared" si="33"/>
        <v>35595.888888888876</v>
      </c>
      <c r="X49" s="231"/>
      <c r="Y49" s="131">
        <f t="shared" si="7"/>
        <v>106787.66666666666</v>
      </c>
      <c r="AA49" s="201">
        <f>N49*AA6</f>
        <v>53393.833333333328</v>
      </c>
      <c r="AB49" s="204">
        <v>8.7816069999999993</v>
      </c>
      <c r="AC49" s="204">
        <v>-10.34979</v>
      </c>
      <c r="AD49" s="179" t="s">
        <v>169</v>
      </c>
    </row>
    <row r="50" spans="1:30" x14ac:dyDescent="0.25">
      <c r="A50" s="28">
        <v>17</v>
      </c>
      <c r="B50" s="279"/>
      <c r="C50" s="40" t="s">
        <v>77</v>
      </c>
      <c r="D50" s="33">
        <v>9</v>
      </c>
      <c r="F50" s="53">
        <v>282538</v>
      </c>
      <c r="G50" s="54">
        <f t="shared" si="23"/>
        <v>156965.55555555556</v>
      </c>
      <c r="H50" s="54">
        <f t="shared" si="24"/>
        <v>31393.111111111113</v>
      </c>
      <c r="I50" s="54">
        <f t="shared" si="25"/>
        <v>188358.66666666669</v>
      </c>
      <c r="J50" s="25"/>
      <c r="K50" s="61" t="s">
        <v>1</v>
      </c>
      <c r="L50" s="95"/>
      <c r="M50" s="224">
        <v>282538</v>
      </c>
      <c r="N50" s="186">
        <f t="shared" si="26"/>
        <v>156965.55555555556</v>
      </c>
      <c r="O50" s="205">
        <f t="shared" si="27"/>
        <v>290386.27777777781</v>
      </c>
      <c r="P50" s="201">
        <f t="shared" si="28"/>
        <v>157000</v>
      </c>
      <c r="Q50" s="205">
        <f t="shared" si="29"/>
        <v>290450</v>
      </c>
      <c r="R50" s="219"/>
      <c r="S50" s="201">
        <f t="shared" si="30"/>
        <v>31393.111111111113</v>
      </c>
      <c r="T50" s="191">
        <f t="shared" si="31"/>
        <v>58077.255555555559</v>
      </c>
      <c r="U50" s="182">
        <f t="shared" si="5"/>
        <v>141269</v>
      </c>
      <c r="V50" s="182">
        <f t="shared" si="32"/>
        <v>141300</v>
      </c>
      <c r="W50" s="41">
        <f t="shared" si="33"/>
        <v>15696.555555555562</v>
      </c>
      <c r="X50" s="231"/>
      <c r="Y50" s="131">
        <f>IF(N50="","",S50+W50)</f>
        <v>47089.666666666672</v>
      </c>
      <c r="AA50" s="201">
        <f>N50*AA6</f>
        <v>23544.833333333332</v>
      </c>
      <c r="AB50" s="204">
        <v>7.9613820000000004</v>
      </c>
      <c r="AC50" s="204">
        <v>-8.3964940000000006</v>
      </c>
      <c r="AD50" s="179" t="s">
        <v>170</v>
      </c>
    </row>
    <row r="51" spans="1:30" x14ac:dyDescent="0.25">
      <c r="A51" s="28">
        <v>18</v>
      </c>
      <c r="B51" s="279"/>
      <c r="C51" s="40" t="s">
        <v>78</v>
      </c>
      <c r="D51" s="33">
        <v>15</v>
      </c>
      <c r="F51" s="53">
        <v>512772</v>
      </c>
      <c r="G51" s="54">
        <f t="shared" si="23"/>
        <v>284873.33333333331</v>
      </c>
      <c r="H51" s="54">
        <f t="shared" si="24"/>
        <v>56974.666666666664</v>
      </c>
      <c r="I51" s="54">
        <f t="shared" si="25"/>
        <v>341848</v>
      </c>
      <c r="J51" s="25"/>
      <c r="K51" s="61" t="s">
        <v>1</v>
      </c>
      <c r="L51" s="95"/>
      <c r="M51" s="224">
        <v>512772</v>
      </c>
      <c r="N51" s="186">
        <f t="shared" si="26"/>
        <v>284873.33333333331</v>
      </c>
      <c r="O51" s="205">
        <f t="shared" si="27"/>
        <v>527015.66666666663</v>
      </c>
      <c r="P51" s="201">
        <f t="shared" si="28"/>
        <v>285000</v>
      </c>
      <c r="Q51" s="205">
        <f t="shared" si="29"/>
        <v>527250</v>
      </c>
      <c r="R51" s="219"/>
      <c r="S51" s="201">
        <f t="shared" si="30"/>
        <v>56974.666666666664</v>
      </c>
      <c r="T51" s="191">
        <f t="shared" si="31"/>
        <v>105403.13333333333</v>
      </c>
      <c r="U51" s="182">
        <f t="shared" si="5"/>
        <v>256386</v>
      </c>
      <c r="V51" s="182">
        <f t="shared" si="32"/>
        <v>256500</v>
      </c>
      <c r="W51" s="41">
        <f t="shared" si="33"/>
        <v>28487.333333333314</v>
      </c>
      <c r="X51" s="231"/>
      <c r="Y51" s="131">
        <f t="shared" si="7"/>
        <v>85461.999999999971</v>
      </c>
      <c r="AA51" s="201">
        <f>N51*AA6</f>
        <v>42730.999999999993</v>
      </c>
      <c r="AB51" s="204">
        <v>8.4615790000000004</v>
      </c>
      <c r="AC51" s="204">
        <v>-9.2785580000000003</v>
      </c>
      <c r="AD51" s="179" t="s">
        <v>171</v>
      </c>
    </row>
    <row r="52" spans="1:30" x14ac:dyDescent="0.25">
      <c r="A52" s="28">
        <v>19</v>
      </c>
      <c r="B52" s="279"/>
      <c r="C52" s="40" t="s">
        <v>79</v>
      </c>
      <c r="D52" s="33">
        <v>11</v>
      </c>
      <c r="F52" s="53">
        <v>518521</v>
      </c>
      <c r="G52" s="54">
        <f t="shared" si="23"/>
        <v>288067.22222222219</v>
      </c>
      <c r="H52" s="54">
        <f t="shared" si="24"/>
        <v>57613.444444444438</v>
      </c>
      <c r="I52" s="54">
        <f t="shared" si="25"/>
        <v>345680.66666666663</v>
      </c>
      <c r="J52" s="25"/>
      <c r="K52" s="61" t="s">
        <v>1</v>
      </c>
      <c r="L52" s="95"/>
      <c r="M52" s="224">
        <v>518521</v>
      </c>
      <c r="N52" s="186">
        <f t="shared" si="26"/>
        <v>288067.22222222219</v>
      </c>
      <c r="O52" s="205">
        <f t="shared" si="27"/>
        <v>532924.36111111112</v>
      </c>
      <c r="P52" s="201">
        <f>(ROUNDUP(N52/500,0))*500-250</f>
        <v>288250</v>
      </c>
      <c r="Q52" s="205">
        <f t="shared" si="29"/>
        <v>533262.5</v>
      </c>
      <c r="R52" s="219"/>
      <c r="S52" s="201">
        <f t="shared" si="30"/>
        <v>57613.444444444438</v>
      </c>
      <c r="T52" s="191">
        <f t="shared" si="31"/>
        <v>106584.87222222221</v>
      </c>
      <c r="U52" s="182">
        <f t="shared" si="5"/>
        <v>259260.49999999997</v>
      </c>
      <c r="V52" s="182">
        <f t="shared" si="32"/>
        <v>259425</v>
      </c>
      <c r="W52" s="41">
        <f t="shared" si="33"/>
        <v>28806.722222222219</v>
      </c>
      <c r="X52" s="231"/>
      <c r="Y52" s="131">
        <f t="shared" si="7"/>
        <v>86420.166666666657</v>
      </c>
      <c r="AA52" s="201">
        <f>N52*AA6</f>
        <v>43210.083333333328</v>
      </c>
      <c r="AB52" s="204">
        <v>7.7478360000000004</v>
      </c>
      <c r="AC52" s="204">
        <v>-8.8252500000000005</v>
      </c>
      <c r="AD52" s="179" t="s">
        <v>172</v>
      </c>
    </row>
    <row r="53" spans="1:30" ht="16.5" thickBot="1" x14ac:dyDescent="0.3">
      <c r="A53" s="28">
        <v>20</v>
      </c>
      <c r="B53" s="279"/>
      <c r="C53" s="40" t="s">
        <v>80</v>
      </c>
      <c r="D53" s="33">
        <v>7</v>
      </c>
      <c r="F53" s="53">
        <v>236418</v>
      </c>
      <c r="G53" s="54">
        <f t="shared" si="23"/>
        <v>131343.33333333334</v>
      </c>
      <c r="H53" s="54">
        <f t="shared" si="24"/>
        <v>26268.666666666672</v>
      </c>
      <c r="I53" s="54">
        <f t="shared" si="25"/>
        <v>157612</v>
      </c>
      <c r="J53" s="25"/>
      <c r="K53" s="93" t="s">
        <v>1</v>
      </c>
      <c r="L53" s="95"/>
      <c r="M53" s="224">
        <v>236418</v>
      </c>
      <c r="N53" s="186">
        <f t="shared" si="26"/>
        <v>131343.33333333334</v>
      </c>
      <c r="O53" s="205">
        <f t="shared" si="27"/>
        <v>242985.16666666669</v>
      </c>
      <c r="P53" s="201">
        <f t="shared" si="28"/>
        <v>131500</v>
      </c>
      <c r="Q53" s="205">
        <f t="shared" si="29"/>
        <v>243275</v>
      </c>
      <c r="R53" s="219"/>
      <c r="S53" s="201">
        <f t="shared" si="30"/>
        <v>26268.666666666672</v>
      </c>
      <c r="T53" s="191">
        <f t="shared" si="31"/>
        <v>48597.033333333347</v>
      </c>
      <c r="U53" s="182">
        <f t="shared" si="5"/>
        <v>118209.00000000001</v>
      </c>
      <c r="V53" s="182">
        <f t="shared" si="32"/>
        <v>118350</v>
      </c>
      <c r="W53" s="41">
        <f t="shared" si="33"/>
        <v>13134.333333333328</v>
      </c>
      <c r="X53" s="231"/>
      <c r="Y53" s="131">
        <f t="shared" si="7"/>
        <v>39403</v>
      </c>
      <c r="AA53" s="201">
        <f>N53*AA6</f>
        <v>19701.5</v>
      </c>
      <c r="AB53" s="204">
        <v>7.5696279999999998</v>
      </c>
      <c r="AC53" s="204">
        <v>-9.2591570000000001</v>
      </c>
      <c r="AD53" s="179" t="s">
        <v>173</v>
      </c>
    </row>
    <row r="54" spans="1:30" ht="16.5" thickBot="1" x14ac:dyDescent="0.3">
      <c r="B54" s="279"/>
      <c r="C54" s="36" t="s">
        <v>111</v>
      </c>
      <c r="D54" s="36">
        <f>SUM(D48:D53)</f>
        <v>66</v>
      </c>
      <c r="F54" s="55">
        <f>SUM(F48:F53)</f>
        <v>2486802</v>
      </c>
      <c r="G54" s="56">
        <f>SUM(G48:G53)</f>
        <v>1381556.6666666665</v>
      </c>
      <c r="H54" s="56">
        <f>SUM(H48:H53)</f>
        <v>276311.33333333331</v>
      </c>
      <c r="I54" s="56">
        <f>SUM(I48:I53)</f>
        <v>1657868</v>
      </c>
      <c r="J54" s="25"/>
      <c r="K54" s="25"/>
      <c r="L54" s="95"/>
      <c r="M54" s="225">
        <f>SUM(M48:M53)</f>
        <v>2486802</v>
      </c>
      <c r="N54" s="187">
        <f>SUM(N48:N53)</f>
        <v>1381556.6666666665</v>
      </c>
      <c r="O54" s="196">
        <f>SUM(O48:O53)</f>
        <v>2555879.833333333</v>
      </c>
      <c r="P54" s="233">
        <f>SUM(P48:P53)</f>
        <v>1382250</v>
      </c>
      <c r="Q54" s="196">
        <f>SUM(Q48:Q53)</f>
        <v>2557162.5</v>
      </c>
      <c r="R54" s="220"/>
      <c r="S54" s="193">
        <f>SUM(S48:S53)</f>
        <v>276311.33333333331</v>
      </c>
      <c r="T54" s="196">
        <f>SUM(T48:T53)</f>
        <v>511175.96666666673</v>
      </c>
      <c r="U54" s="199">
        <f>SUM(U48:U53)</f>
        <v>1243401</v>
      </c>
      <c r="V54" s="234">
        <f>SUM(V48:V53)</f>
        <v>1244025</v>
      </c>
      <c r="W54" s="37">
        <f>SUM(W48:W53)</f>
        <v>138155.66666666663</v>
      </c>
      <c r="X54" s="232"/>
      <c r="Y54" s="132">
        <f>SUM(Y48:Y53)</f>
        <v>414467</v>
      </c>
      <c r="AA54" s="193">
        <f>SUM(AA48:AA53)</f>
        <v>207233.5</v>
      </c>
      <c r="AB54" s="198">
        <v>7.8942899999999998</v>
      </c>
      <c r="AC54" s="198">
        <v>-8.9313479999999998</v>
      </c>
      <c r="AD54" s="179" t="s">
        <v>152</v>
      </c>
    </row>
    <row r="55" spans="1:30" ht="16.5" thickBot="1" x14ac:dyDescent="0.3">
      <c r="B55" s="48"/>
      <c r="C55" s="39" t="s">
        <v>82</v>
      </c>
      <c r="D55" s="36">
        <f>D54+D31+D25+D14</f>
        <v>203</v>
      </c>
      <c r="F55" s="55">
        <f>SUM(F54,F47,F43,F37,F31,F25,F20,F14)</f>
        <v>13236235</v>
      </c>
      <c r="G55" s="56">
        <f>G54+G47+G43+G37+G31+G25+G20+G14</f>
        <v>6239413.333333334</v>
      </c>
      <c r="H55" s="56">
        <f>H54+H47+H43+H37+H31+H25+H20+H14</f>
        <v>1247882.6666666667</v>
      </c>
      <c r="I55" s="56">
        <f>I54+I47+I43+I37+I31+I25+I20+I14</f>
        <v>7987296</v>
      </c>
      <c r="J55" s="25"/>
      <c r="K55" s="25"/>
      <c r="L55" s="95"/>
      <c r="M55" s="225">
        <f>SUM(M54,M47,M43,M37,M31,M25,M20,M14)</f>
        <v>6941768</v>
      </c>
      <c r="N55" s="187">
        <f>N54+N47+N43+N37+N31+N25+N20+N14</f>
        <v>3856537.777777778</v>
      </c>
      <c r="O55" s="196">
        <f>O54+O47+O43+O37+O31+O25+O20+O14</f>
        <v>7134594.8888888899</v>
      </c>
      <c r="P55" s="193">
        <f>P54+P47+P43+P37+P31+P25+P20+P14</f>
        <v>3860000</v>
      </c>
      <c r="Q55" s="196">
        <f>Q54+Q47+Q43+Q37+Q31+Q25+Q20+Q14</f>
        <v>7141000</v>
      </c>
      <c r="R55" s="220"/>
      <c r="S55" s="193">
        <f>S54+S47+S43+S37+S31+S25+S20+S14</f>
        <v>771307.5555555555</v>
      </c>
      <c r="T55" s="196">
        <f>T54+T47+T43+T37+T31+T25+T20+T14</f>
        <v>1315088.5333333334</v>
      </c>
      <c r="U55" s="199">
        <f>U54+U47+U43+U37+U31+U25+U20+U14</f>
        <v>3470884</v>
      </c>
      <c r="V55" s="199">
        <f>V54+V47+V43+V37+V31+V25+V20+V14</f>
        <v>3474000</v>
      </c>
      <c r="W55" s="37">
        <f>W54+W47+W43+W37+W31+W25+W20+W14</f>
        <v>385653.77777777775</v>
      </c>
      <c r="X55" s="235">
        <f>P55-V55</f>
        <v>386000</v>
      </c>
      <c r="Y55" s="132">
        <f>Y54+Y47+Y43+Y37+Y31+Y25+Y20+Y14</f>
        <v>1156961.3333333335</v>
      </c>
      <c r="AA55" s="193">
        <f>AA54+AA47+AA43+AA37+AA31+AA25+AA20+AA14</f>
        <v>578480.66666666663</v>
      </c>
    </row>
    <row r="56" spans="1:30" ht="16.5" thickBot="1" x14ac:dyDescent="0.3">
      <c r="J56" s="25"/>
      <c r="K56" s="176" t="s">
        <v>141</v>
      </c>
      <c r="L56" s="95"/>
      <c r="M56" s="95"/>
      <c r="N56" s="188"/>
      <c r="O56" s="194"/>
      <c r="P56" s="194"/>
      <c r="Q56" s="194"/>
      <c r="R56" s="33"/>
      <c r="S56" s="194"/>
      <c r="T56" s="194"/>
      <c r="U56" s="47"/>
      <c r="V56" s="47"/>
      <c r="W56" s="40"/>
      <c r="X56" s="70"/>
      <c r="Y56" s="159" t="s">
        <v>115</v>
      </c>
      <c r="AA56" s="240">
        <f>AA55*$O$4</f>
        <v>1070189.2333333334</v>
      </c>
      <c r="AB56" s="241" t="s">
        <v>184</v>
      </c>
    </row>
    <row r="57" spans="1:30" ht="16.5" thickBot="1" x14ac:dyDescent="0.3">
      <c r="B57" s="239" t="s">
        <v>183</v>
      </c>
      <c r="C57" s="28">
        <v>20</v>
      </c>
      <c r="D57" s="28">
        <f>D55</f>
        <v>203</v>
      </c>
      <c r="F57" s="28">
        <f>F55*1.2</f>
        <v>15883482</v>
      </c>
      <c r="J57" s="25"/>
      <c r="K57" s="174"/>
      <c r="L57" s="95"/>
      <c r="M57" s="95"/>
      <c r="N57" s="188"/>
      <c r="O57" s="194"/>
      <c r="P57" s="194"/>
      <c r="Q57" s="194"/>
      <c r="R57" s="33"/>
      <c r="S57" s="194"/>
      <c r="T57" s="194"/>
      <c r="U57" s="47"/>
      <c r="V57" s="47"/>
      <c r="W57" s="40"/>
      <c r="X57" s="70"/>
      <c r="Y57" s="132">
        <f>N55+Y55</f>
        <v>5013499.1111111119</v>
      </c>
      <c r="AA57" s="240">
        <f>AA55*AC57</f>
        <v>115696.13333333333</v>
      </c>
      <c r="AB57" s="241" t="s">
        <v>185</v>
      </c>
      <c r="AC57" s="28">
        <v>0.2</v>
      </c>
    </row>
    <row r="58" spans="1:30" ht="16.5" thickBot="1" x14ac:dyDescent="0.3">
      <c r="J58" s="25"/>
      <c r="L58" s="95"/>
      <c r="M58" s="95"/>
      <c r="N58" s="189"/>
      <c r="O58" s="195"/>
      <c r="P58" s="195"/>
      <c r="Q58" s="195"/>
      <c r="R58" s="118"/>
      <c r="S58" s="195"/>
      <c r="T58" s="195"/>
      <c r="U58" s="183"/>
      <c r="V58" s="183"/>
      <c r="W58" s="99"/>
      <c r="X58" s="119"/>
      <c r="Y58" s="127"/>
    </row>
    <row r="59" spans="1:30" x14ac:dyDescent="0.25">
      <c r="R59" s="33"/>
    </row>
    <row r="60" spans="1:30" x14ac:dyDescent="0.25">
      <c r="L60" s="23"/>
      <c r="M60" s="23"/>
      <c r="R60" s="33"/>
    </row>
    <row r="61" spans="1:30" x14ac:dyDescent="0.25">
      <c r="L61" s="89"/>
      <c r="M61" s="89"/>
    </row>
    <row r="63" spans="1:30" ht="15" customHeight="1" x14ac:dyDescent="0.25"/>
    <row r="64" spans="1:30" ht="15.75" customHeight="1" x14ac:dyDescent="0.25"/>
    <row r="65" ht="15.75" customHeight="1" x14ac:dyDescent="0.25"/>
  </sheetData>
  <mergeCells count="12">
    <mergeCell ref="B2:Y2"/>
    <mergeCell ref="B6:I6"/>
    <mergeCell ref="B44:B47"/>
    <mergeCell ref="B48:B54"/>
    <mergeCell ref="B9:B14"/>
    <mergeCell ref="B15:B20"/>
    <mergeCell ref="B21:B25"/>
    <mergeCell ref="B26:B31"/>
    <mergeCell ref="B32:B37"/>
    <mergeCell ref="B38:B43"/>
    <mergeCell ref="S6:Y6"/>
    <mergeCell ref="M6:Q6"/>
  </mergeCells>
  <pageMargins left="0.7" right="0.7" top="0.75" bottom="0.75" header="0.3" footer="0.3"/>
  <pageSetup paperSize="9" orientation="portrait" r:id="rId1"/>
  <ignoredErrors>
    <ignoredError sqref="Y9:Y47 T25:T54 N31 R10:S47 F9:L16 N32:O47 N9:O30 P9:P43 Q25 P48:P53 U9:U47 W9:W47 R9 F18:L47 F17:H17 J17:L1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5" zoomScaleNormal="75" workbookViewId="0"/>
  </sheetViews>
  <sheetFormatPr defaultColWidth="8.875" defaultRowHeight="15.75" x14ac:dyDescent="0.25"/>
  <sheetData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2"/>
  <sheetViews>
    <sheetView workbookViewId="0"/>
  </sheetViews>
  <sheetFormatPr defaultColWidth="11" defaultRowHeight="15.75" x14ac:dyDescent="0.25"/>
  <cols>
    <col min="2" max="9" width="15.875" customWidth="1"/>
    <col min="11" max="11" width="23.625" bestFit="1" customWidth="1"/>
  </cols>
  <sheetData>
    <row r="2" spans="2:12" s="11" customFormat="1" ht="94.5" x14ac:dyDescent="0.25">
      <c r="B2" s="251" t="s">
        <v>187</v>
      </c>
      <c r="C2" s="251" t="s">
        <v>193</v>
      </c>
      <c r="D2" s="251" t="s">
        <v>188</v>
      </c>
      <c r="E2" s="251" t="s">
        <v>190</v>
      </c>
      <c r="F2" s="251" t="s">
        <v>191</v>
      </c>
      <c r="G2" s="251" t="s">
        <v>192</v>
      </c>
      <c r="H2" s="251" t="s">
        <v>194</v>
      </c>
      <c r="I2" s="251" t="s">
        <v>195</v>
      </c>
    </row>
    <row r="3" spans="2:12" s="250" customFormat="1" ht="5.0999999999999996" customHeight="1" x14ac:dyDescent="0.25">
      <c r="B3" s="249"/>
      <c r="C3" s="249"/>
      <c r="D3" s="249"/>
      <c r="E3" s="249"/>
      <c r="F3" s="249"/>
      <c r="G3" s="249"/>
      <c r="H3" s="249"/>
      <c r="I3" s="249"/>
    </row>
    <row r="4" spans="2:12" x14ac:dyDescent="0.25">
      <c r="B4" s="246">
        <v>0.9</v>
      </c>
      <c r="C4" s="14">
        <f t="shared" ref="C4:C11" si="0">B4*$L$4</f>
        <v>3470884.0000000005</v>
      </c>
      <c r="D4" s="246">
        <v>0</v>
      </c>
      <c r="E4" s="14">
        <f t="shared" ref="E4:E11" si="1">L$4*(1+D4)</f>
        <v>3856537.777777778</v>
      </c>
      <c r="F4" s="14">
        <f t="shared" ref="F4:F11" si="2">SUM(L$6:L$8)*(1+D4)</f>
        <v>3070046.111111111</v>
      </c>
      <c r="G4" s="14">
        <f t="shared" ref="G4:G11" si="3">L$5*(1+D4)</f>
        <v>786491.66666666674</v>
      </c>
      <c r="H4" s="14">
        <f>E4-C4</f>
        <v>385653.77777777752</v>
      </c>
      <c r="I4" s="247" t="str">
        <f>IF(H4&gt;G4,"Yes","No")</f>
        <v>No</v>
      </c>
      <c r="K4" s="252" t="s">
        <v>196</v>
      </c>
      <c r="L4" s="253">
        <f>'4. AMF Costs'!N55</f>
        <v>3856537.777777778</v>
      </c>
    </row>
    <row r="5" spans="2:12" x14ac:dyDescent="0.25">
      <c r="B5" s="246">
        <v>0.9</v>
      </c>
      <c r="C5" s="14">
        <f t="shared" si="0"/>
        <v>3470884.0000000005</v>
      </c>
      <c r="D5" s="246">
        <v>0.1</v>
      </c>
      <c r="E5" s="14">
        <f t="shared" si="1"/>
        <v>4242191.555555556</v>
      </c>
      <c r="F5" s="14">
        <f t="shared" si="2"/>
        <v>3377050.7222222225</v>
      </c>
      <c r="G5" s="14">
        <f t="shared" si="3"/>
        <v>865140.83333333349</v>
      </c>
      <c r="H5" s="14">
        <f>E5-C5</f>
        <v>771307.5555555555</v>
      </c>
      <c r="I5" s="247" t="str">
        <f>IF(H5&gt;G5,"Yes","No")</f>
        <v>No</v>
      </c>
      <c r="K5" s="252" t="s">
        <v>27</v>
      </c>
      <c r="L5" s="253">
        <f>'4. AMF Costs'!N14</f>
        <v>786491.66666666674</v>
      </c>
    </row>
    <row r="6" spans="2:12" x14ac:dyDescent="0.25">
      <c r="B6" s="246">
        <v>0.9</v>
      </c>
      <c r="C6" s="14">
        <f t="shared" si="0"/>
        <v>3470884.0000000005</v>
      </c>
      <c r="D6" s="246">
        <v>0.2</v>
      </c>
      <c r="E6" s="14">
        <f t="shared" si="1"/>
        <v>4627845.333333333</v>
      </c>
      <c r="F6" s="14">
        <f t="shared" si="2"/>
        <v>3684055.333333333</v>
      </c>
      <c r="G6" s="14">
        <f t="shared" si="3"/>
        <v>943790</v>
      </c>
      <c r="H6" s="14">
        <f>E6-C6</f>
        <v>1156961.3333333326</v>
      </c>
      <c r="I6" s="248" t="str">
        <f>IF(H6&gt;G6,"Yes","No")</f>
        <v>Yes</v>
      </c>
      <c r="K6" s="252" t="s">
        <v>42</v>
      </c>
      <c r="L6" s="253">
        <f>'4. AMF Costs'!N25</f>
        <v>613850</v>
      </c>
    </row>
    <row r="7" spans="2:12" x14ac:dyDescent="0.25">
      <c r="B7" s="246">
        <v>0.9</v>
      </c>
      <c r="C7" s="14">
        <f t="shared" si="0"/>
        <v>3470884.0000000005</v>
      </c>
      <c r="D7" s="246">
        <v>0.3</v>
      </c>
      <c r="E7" s="14">
        <f t="shared" si="1"/>
        <v>5013499.1111111119</v>
      </c>
      <c r="F7" s="14">
        <f t="shared" si="2"/>
        <v>3991059.9444444445</v>
      </c>
      <c r="G7" s="14">
        <f t="shared" si="3"/>
        <v>1022439.1666666669</v>
      </c>
      <c r="H7" s="14">
        <f>E7-C7</f>
        <v>1542615.1111111115</v>
      </c>
      <c r="I7" s="248" t="str">
        <f>IF(H7&gt;G7,"Yes","No")</f>
        <v>Yes</v>
      </c>
      <c r="K7" s="252" t="s">
        <v>48</v>
      </c>
      <c r="L7" s="253">
        <f>'4. AMF Costs'!N31</f>
        <v>1074639.4444444443</v>
      </c>
    </row>
    <row r="8" spans="2:12" s="11" customFormat="1" x14ac:dyDescent="0.25">
      <c r="B8" s="246">
        <v>1</v>
      </c>
      <c r="C8" s="14">
        <f t="shared" si="0"/>
        <v>3856537.777777778</v>
      </c>
      <c r="D8" s="246">
        <v>0</v>
      </c>
      <c r="E8" s="14">
        <f t="shared" si="1"/>
        <v>3856537.777777778</v>
      </c>
      <c r="F8" s="14">
        <f t="shared" si="2"/>
        <v>3070046.111111111</v>
      </c>
      <c r="G8" s="14">
        <f t="shared" si="3"/>
        <v>786491.66666666674</v>
      </c>
      <c r="H8" s="14">
        <f>E8-C8</f>
        <v>0</v>
      </c>
      <c r="I8" s="247" t="str">
        <f>IF(H8&gt;G8,"Yes","No")</f>
        <v>No</v>
      </c>
      <c r="J8"/>
      <c r="K8" s="252" t="s">
        <v>189</v>
      </c>
      <c r="L8" s="253">
        <f>'4. AMF Costs'!N54</f>
        <v>1381556.6666666665</v>
      </c>
    </row>
    <row r="9" spans="2:12" x14ac:dyDescent="0.25">
      <c r="B9" s="246">
        <v>1</v>
      </c>
      <c r="C9" s="14">
        <f t="shared" si="0"/>
        <v>3856537.777777778</v>
      </c>
      <c r="D9" s="246">
        <v>0.1</v>
      </c>
      <c r="E9" s="14">
        <f t="shared" si="1"/>
        <v>4242191.555555556</v>
      </c>
      <c r="F9" s="14">
        <f t="shared" si="2"/>
        <v>3377050.7222222225</v>
      </c>
      <c r="G9" s="14">
        <f t="shared" si="3"/>
        <v>865140.83333333349</v>
      </c>
      <c r="H9" s="14">
        <f t="shared" ref="H9:H11" si="4">E9-C9</f>
        <v>385653.77777777798</v>
      </c>
      <c r="I9" s="247" t="str">
        <f t="shared" ref="I9:I11" si="5">IF(H9&gt;G9,"Yes","No")</f>
        <v>No</v>
      </c>
    </row>
    <row r="10" spans="2:12" x14ac:dyDescent="0.25">
      <c r="B10" s="246">
        <v>1</v>
      </c>
      <c r="C10" s="14">
        <f t="shared" si="0"/>
        <v>3856537.777777778</v>
      </c>
      <c r="D10" s="246">
        <v>0.2</v>
      </c>
      <c r="E10" s="14">
        <f t="shared" si="1"/>
        <v>4627845.333333333</v>
      </c>
      <c r="F10" s="14">
        <f t="shared" si="2"/>
        <v>3684055.333333333</v>
      </c>
      <c r="G10" s="14">
        <f t="shared" si="3"/>
        <v>943790</v>
      </c>
      <c r="H10" s="14">
        <f t="shared" si="4"/>
        <v>771307.55555555504</v>
      </c>
      <c r="I10" s="247" t="str">
        <f t="shared" si="5"/>
        <v>No</v>
      </c>
    </row>
    <row r="11" spans="2:12" x14ac:dyDescent="0.25">
      <c r="B11" s="246">
        <v>1</v>
      </c>
      <c r="C11" s="14">
        <f t="shared" si="0"/>
        <v>3856537.777777778</v>
      </c>
      <c r="D11" s="246">
        <v>0.3</v>
      </c>
      <c r="E11" s="14">
        <f t="shared" si="1"/>
        <v>5013499.1111111119</v>
      </c>
      <c r="F11" s="14">
        <f t="shared" si="2"/>
        <v>3991059.9444444445</v>
      </c>
      <c r="G11" s="14">
        <f t="shared" si="3"/>
        <v>1022439.1666666669</v>
      </c>
      <c r="H11" s="14">
        <f t="shared" si="4"/>
        <v>1156961.333333334</v>
      </c>
      <c r="I11" s="248" t="str">
        <f t="shared" si="5"/>
        <v>Yes</v>
      </c>
    </row>
    <row r="22" spans="7:7" x14ac:dyDescent="0.25">
      <c r="G22">
        <f>3.86*1.2</f>
        <v>4.6319999999999997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Explanation</vt:lpstr>
      <vt:lpstr>1. Initial Allocation</vt:lpstr>
      <vt:lpstr>2. Budgets + Costs per net</vt:lpstr>
      <vt:lpstr>3. Suggested Allocation</vt:lpstr>
      <vt:lpstr>4. AMF Costs</vt:lpstr>
      <vt:lpstr>5. Maps</vt:lpstr>
      <vt:lpstr>6. Shipping Scenarios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2018-11-09T00:10:13Z</dcterms:created>
  <dcterms:modified xsi:type="dcterms:W3CDTF">2018-11-09T00:10:17Z</dcterms:modified>
</cp:coreProperties>
</file>