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filterPrivacy="1" showInkAnnotation="0" autoCompressPictures="0"/>
  <bookViews>
    <workbookView xWindow="0" yWindow="0" windowWidth="25600" windowHeight="15620" tabRatio="500"/>
  </bookViews>
  <sheets>
    <sheet name="Model" sheetId="1" r:id="rId1"/>
    <sheet name="Regional Data" sheetId="2" r:id="rId2"/>
  </sheets>
  <calcPr calcId="140001" concurrentCalc="0"/>
  <customWorkbookViews>
    <customWorkbookView name="Devin Jacob - Personal View" guid="{D4AA915B-EC3C-7A4D-B706-7A05279073E5}" mergeInterval="0" personalView="1" yWindow="54" windowWidth="1280" windowHeight="727" tabRatio="500" activeSheetId="1"/>
    <customWorkbookView name="Sean Conley - Personal View" guid="{F02A15F0-0C5A-447E-AD2D-3C398581DCFC}" mergeInterval="0" personalView="1" maximized="1" xWindow="-9" yWindow="-9" windowWidth="1938" windowHeight="1050" tabRatio="500" activeSheetId="1"/>
    <customWorkbookView name="Timothy Telleen-Lawton - Personal View" guid="{F81E8A90-0AD6-6D45-AE39-FE52C9F45C09}" mergeInterval="0" personalView="1" xWindow="16" yWindow="95" windowWidth="1857" windowHeight="990"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121" i="1" l="1"/>
  <c r="B38" i="1"/>
  <c r="H38" i="1"/>
  <c r="F38" i="1"/>
  <c r="F10" i="1"/>
  <c r="F11" i="1"/>
  <c r="F20" i="1"/>
  <c r="F23" i="1"/>
  <c r="F26" i="1"/>
  <c r="H108" i="1"/>
  <c r="F108" i="1"/>
  <c r="B108" i="1"/>
  <c r="H109" i="1"/>
  <c r="F109" i="1"/>
  <c r="B109" i="1"/>
  <c r="H62" i="1"/>
  <c r="F62" i="1"/>
  <c r="B62" i="1"/>
  <c r="D38" i="1"/>
  <c r="H18" i="1"/>
  <c r="F18" i="1"/>
  <c r="D18" i="1"/>
  <c r="H10" i="1"/>
  <c r="H11" i="1"/>
  <c r="H21" i="1"/>
  <c r="H24" i="1"/>
  <c r="H32" i="1"/>
  <c r="H45" i="1"/>
  <c r="H39" i="1"/>
  <c r="H40" i="1"/>
  <c r="H48" i="1"/>
  <c r="H64" i="1"/>
  <c r="H70" i="1"/>
  <c r="H69" i="1"/>
  <c r="H73" i="1"/>
  <c r="F21" i="1"/>
  <c r="F24" i="1"/>
  <c r="F32" i="1"/>
  <c r="F45" i="1"/>
  <c r="F40" i="1"/>
  <c r="F48" i="1"/>
  <c r="F64" i="1"/>
  <c r="F70" i="1"/>
  <c r="F69" i="1"/>
  <c r="F73" i="1"/>
  <c r="D10" i="1"/>
  <c r="D11" i="1"/>
  <c r="D21" i="1"/>
  <c r="D24" i="1"/>
  <c r="D32" i="1"/>
  <c r="D45" i="1"/>
  <c r="D39" i="1"/>
  <c r="D40" i="1"/>
  <c r="D48" i="1"/>
  <c r="D64" i="1"/>
  <c r="D70" i="1"/>
  <c r="D69" i="1"/>
  <c r="D73" i="1"/>
  <c r="B10" i="1"/>
  <c r="B11" i="1"/>
  <c r="B18" i="1"/>
  <c r="B21" i="1"/>
  <c r="B24" i="1"/>
  <c r="B32" i="1"/>
  <c r="B45" i="1"/>
  <c r="B39" i="1"/>
  <c r="B40" i="1"/>
  <c r="B48" i="1"/>
  <c r="B64" i="1"/>
  <c r="B70" i="1"/>
  <c r="B69" i="1"/>
  <c r="B73" i="1"/>
  <c r="H19" i="1"/>
  <c r="H22" i="1"/>
  <c r="H25" i="1"/>
  <c r="H33" i="1"/>
  <c r="H46" i="1"/>
  <c r="H49" i="1"/>
  <c r="H79" i="1"/>
  <c r="H85" i="1"/>
  <c r="H84" i="1"/>
  <c r="H88" i="1"/>
  <c r="F19" i="1"/>
  <c r="F22" i="1"/>
  <c r="F25" i="1"/>
  <c r="F33" i="1"/>
  <c r="F46" i="1"/>
  <c r="F49" i="1"/>
  <c r="F79" i="1"/>
  <c r="F85" i="1"/>
  <c r="F84" i="1"/>
  <c r="F88" i="1"/>
  <c r="D19" i="1"/>
  <c r="D22" i="1"/>
  <c r="D25" i="1"/>
  <c r="D33" i="1"/>
  <c r="D46" i="1"/>
  <c r="D49" i="1"/>
  <c r="D79" i="1"/>
  <c r="D85" i="1"/>
  <c r="D84" i="1"/>
  <c r="D88" i="1"/>
  <c r="B19" i="1"/>
  <c r="B22" i="1"/>
  <c r="B25" i="1"/>
  <c r="B33" i="1"/>
  <c r="B46" i="1"/>
  <c r="B49" i="1"/>
  <c r="B79" i="1"/>
  <c r="B85" i="1"/>
  <c r="B84" i="1"/>
  <c r="B88" i="1"/>
  <c r="H20" i="1"/>
  <c r="H23" i="1"/>
  <c r="H26" i="1"/>
  <c r="H34" i="1"/>
  <c r="H47" i="1"/>
  <c r="H50" i="1"/>
  <c r="H94" i="1"/>
  <c r="H100" i="1"/>
  <c r="H99" i="1"/>
  <c r="H103" i="1"/>
  <c r="F34" i="1"/>
  <c r="F47" i="1"/>
  <c r="F50" i="1"/>
  <c r="F94" i="1"/>
  <c r="F100" i="1"/>
  <c r="F99" i="1"/>
  <c r="F103" i="1"/>
  <c r="D20" i="1"/>
  <c r="D23" i="1"/>
  <c r="D26" i="1"/>
  <c r="D34" i="1"/>
  <c r="D47" i="1"/>
  <c r="D50" i="1"/>
  <c r="D94" i="1"/>
  <c r="D100" i="1"/>
  <c r="D99" i="1"/>
  <c r="D103" i="1"/>
  <c r="B20" i="1"/>
  <c r="B23" i="1"/>
  <c r="B26" i="1"/>
  <c r="B34" i="1"/>
  <c r="B47" i="1"/>
  <c r="B50" i="1"/>
  <c r="B94" i="1"/>
  <c r="B100" i="1"/>
  <c r="B99" i="1"/>
  <c r="B103" i="1"/>
  <c r="H121" i="1"/>
  <c r="D121" i="1"/>
  <c r="B121" i="1"/>
  <c r="H107" i="1"/>
  <c r="H111" i="1"/>
  <c r="H112" i="1"/>
  <c r="H113" i="1"/>
  <c r="H118" i="1"/>
  <c r="H123" i="1"/>
  <c r="H125" i="1"/>
  <c r="F107" i="1"/>
  <c r="F111" i="1"/>
  <c r="F112" i="1"/>
  <c r="F113" i="1"/>
  <c r="F118" i="1"/>
  <c r="F123" i="1"/>
  <c r="F125" i="1"/>
  <c r="D107" i="1"/>
  <c r="D111" i="1"/>
  <c r="D112" i="1"/>
  <c r="D113" i="1"/>
  <c r="D118" i="1"/>
  <c r="D123" i="1"/>
  <c r="D125" i="1"/>
  <c r="B107" i="1"/>
  <c r="B111" i="1"/>
  <c r="B112" i="1"/>
  <c r="B113" i="1"/>
  <c r="B118" i="1"/>
  <c r="B123" i="1"/>
  <c r="B125" i="1"/>
  <c r="K31" i="2"/>
  <c r="K21" i="2"/>
  <c r="P21" i="2"/>
  <c r="R21" i="2"/>
  <c r="K30" i="2"/>
  <c r="C23" i="2"/>
  <c r="O23" i="2"/>
  <c r="J23" i="2"/>
  <c r="I23" i="2"/>
  <c r="H23" i="2"/>
  <c r="N23" i="2"/>
  <c r="M23" i="2"/>
  <c r="G23" i="2"/>
  <c r="F23" i="2"/>
  <c r="E23" i="2"/>
  <c r="D23" i="2"/>
  <c r="C10" i="2"/>
  <c r="C11" i="2"/>
  <c r="C13" i="2"/>
  <c r="C16" i="2"/>
  <c r="D10" i="2"/>
  <c r="D11" i="2"/>
  <c r="D13" i="2"/>
  <c r="D16" i="2"/>
  <c r="E10" i="2"/>
  <c r="E11" i="2"/>
  <c r="E13" i="2"/>
  <c r="E16" i="2"/>
  <c r="F10" i="2"/>
  <c r="F11" i="2"/>
  <c r="F13" i="2"/>
  <c r="F16" i="2"/>
  <c r="G10" i="2"/>
  <c r="G11" i="2"/>
  <c r="G13" i="2"/>
  <c r="G16" i="2"/>
  <c r="M10" i="2"/>
  <c r="M11" i="2"/>
  <c r="M13" i="2"/>
  <c r="M16" i="2"/>
  <c r="N10" i="2"/>
  <c r="N11" i="2"/>
  <c r="N13" i="2"/>
  <c r="N16" i="2"/>
  <c r="H10" i="2"/>
  <c r="H11" i="2"/>
  <c r="H13" i="2"/>
  <c r="H16" i="2"/>
  <c r="I10" i="2"/>
  <c r="I11" i="2"/>
  <c r="I13" i="2"/>
  <c r="I16" i="2"/>
  <c r="J10" i="2"/>
  <c r="J11" i="2"/>
  <c r="J13" i="2"/>
  <c r="J16" i="2"/>
  <c r="O10" i="2"/>
  <c r="O11" i="2"/>
  <c r="O13" i="2"/>
  <c r="O16" i="2"/>
  <c r="C12" i="2"/>
  <c r="C15" i="2"/>
  <c r="D12" i="2"/>
  <c r="D15" i="2"/>
  <c r="E12" i="2"/>
  <c r="E15" i="2"/>
  <c r="F12" i="2"/>
  <c r="F15" i="2"/>
  <c r="G12" i="2"/>
  <c r="G15" i="2"/>
  <c r="M12" i="2"/>
  <c r="M15" i="2"/>
  <c r="N12" i="2"/>
  <c r="N15" i="2"/>
  <c r="H12" i="2"/>
  <c r="H15" i="2"/>
  <c r="I12" i="2"/>
  <c r="I15" i="2"/>
  <c r="J12" i="2"/>
  <c r="J15" i="2"/>
  <c r="O12" i="2"/>
  <c r="O15" i="2"/>
  <c r="C14" i="2"/>
  <c r="D14" i="2"/>
  <c r="E14" i="2"/>
  <c r="F14" i="2"/>
  <c r="G14" i="2"/>
  <c r="M14" i="2"/>
  <c r="N14" i="2"/>
  <c r="H14" i="2"/>
  <c r="I14" i="2"/>
  <c r="J14" i="2"/>
  <c r="O14" i="2"/>
  <c r="O7" i="2"/>
  <c r="J7" i="2"/>
  <c r="I7" i="2"/>
  <c r="H7" i="2"/>
  <c r="N7" i="2"/>
  <c r="M7" i="2"/>
  <c r="G7" i="2"/>
  <c r="F7" i="2"/>
  <c r="E7" i="2"/>
  <c r="D7" i="2"/>
  <c r="C7" i="2"/>
  <c r="D3" i="1"/>
  <c r="H3" i="1"/>
  <c r="F3" i="1"/>
  <c r="B3" i="1"/>
</calcChain>
</file>

<file path=xl/comments1.xml><?xml version="1.0" encoding="utf-8"?>
<comments xmlns="http://schemas.openxmlformats.org/spreadsheetml/2006/main">
  <authors>
    <author>Will Snell</author>
    <author>Research Manager</author>
  </authors>
  <commentList>
    <comment ref="B10" authorId="0" guid="{C0495546-2BA9-484B-B3BB-2405505A0C1D}">
      <text>
        <r>
          <rPr>
            <b/>
            <sz val="9"/>
            <color indexed="81"/>
            <rFont val="Tahoma"/>
            <family val="2"/>
          </rPr>
          <t>Will Snell:</t>
        </r>
        <r>
          <rPr>
            <sz val="9"/>
            <color indexed="81"/>
            <rFont val="Tahoma"/>
            <family val="2"/>
          </rPr>
          <t xml:space="preserve">
Based on % living in capital and adjusted upwards to match 35% overall urban population estimate</t>
        </r>
      </text>
    </comment>
    <comment ref="B21" authorId="1" guid="{598C5E92-8485-B847-A584-10CDE2A7D4DD}">
      <text>
        <r>
          <rPr>
            <b/>
            <sz val="9"/>
            <color indexed="81"/>
            <rFont val="Tahoma"/>
            <family val="2"/>
          </rPr>
          <t xml:space="preserve">Research Manager: </t>
        </r>
        <r>
          <rPr>
            <sz val="9"/>
            <color indexed="81"/>
            <rFont val="Tahoma"/>
            <family val="2"/>
          </rPr>
          <t>updated with MICS 2010</t>
        </r>
      </text>
    </comment>
    <comment ref="B23" authorId="0" guid="{7DC02F74-D4FA-1C42-A0EA-59D99A41C2C1}">
      <text>
        <r>
          <rPr>
            <b/>
            <sz val="9"/>
            <color indexed="81"/>
            <rFont val="Tahoma"/>
            <family val="2"/>
          </rPr>
          <t>Will Snell:</t>
        </r>
        <r>
          <rPr>
            <sz val="9"/>
            <color indexed="81"/>
            <rFont val="Tahoma"/>
            <family val="2"/>
          </rPr>
          <t xml:space="preserve">
Estimated U5 deaths based on population / fertility rate / U5MR</t>
        </r>
      </text>
    </comment>
    <comment ref="B25" authorId="0" guid="{70E0F71C-FE00-8741-896D-3EEB3F22D8B9}">
      <text>
        <r>
          <rPr>
            <b/>
            <sz val="9"/>
            <color indexed="81"/>
            <rFont val="Tahoma"/>
            <family val="2"/>
          </rPr>
          <t>Will Snell:</t>
        </r>
        <r>
          <rPr>
            <sz val="9"/>
            <color indexed="81"/>
            <rFont val="Tahoma"/>
            <family val="2"/>
          </rPr>
          <t xml:space="preserve">
Ante-natal care (any)</t>
        </r>
      </text>
    </comment>
    <comment ref="B26" authorId="0" guid="{42423CA4-398C-9245-BED3-8EFA5B45D98F}">
      <text>
        <r>
          <rPr>
            <b/>
            <sz val="9"/>
            <color indexed="81"/>
            <rFont val="Tahoma"/>
            <family val="2"/>
          </rPr>
          <t>Will Snell:</t>
        </r>
        <r>
          <rPr>
            <sz val="9"/>
            <color indexed="81"/>
            <rFont val="Tahoma"/>
            <family val="2"/>
          </rPr>
          <t xml:space="preserve">
Delivery in a health facility
</t>
        </r>
      </text>
    </comment>
    <comment ref="B27" authorId="0" guid="{323803CE-676E-784F-9352-40C1F7D3E3A1}">
      <text>
        <r>
          <rPr>
            <b/>
            <sz val="9"/>
            <color indexed="81"/>
            <rFont val="Tahoma"/>
            <family val="2"/>
          </rPr>
          <t>Will Snell:</t>
        </r>
        <r>
          <rPr>
            <sz val="9"/>
            <color indexed="81"/>
            <rFont val="Tahoma"/>
            <family val="2"/>
          </rPr>
          <t xml:space="preserve">
Early breastfeeding (within one hour)</t>
        </r>
      </text>
    </comment>
    <comment ref="B28" authorId="0" guid="{B862CAC4-14AF-BE49-BCF0-77E718B2D82F}">
      <text>
        <r>
          <rPr>
            <b/>
            <sz val="9"/>
            <color indexed="81"/>
            <rFont val="Tahoma"/>
            <family val="2"/>
          </rPr>
          <t>Will Snell:</t>
        </r>
        <r>
          <rPr>
            <sz val="9"/>
            <color indexed="81"/>
            <rFont val="Tahoma"/>
            <family val="2"/>
          </rPr>
          <t xml:space="preserve">
Children Age 12-23 Months Fully Vaccinated</t>
        </r>
      </text>
    </comment>
    <comment ref="B29" authorId="0" guid="{4663940D-7ADD-4D42-821D-FD6993417FC9}">
      <text>
        <r>
          <rPr>
            <b/>
            <sz val="9"/>
            <color indexed="81"/>
            <rFont val="Tahoma"/>
            <family val="2"/>
          </rPr>
          <t>Will Snell:</t>
        </r>
        <r>
          <rPr>
            <sz val="9"/>
            <color indexed="81"/>
            <rFont val="Tahoma"/>
            <family val="2"/>
          </rPr>
          <t xml:space="preserve">
Children under 5 who slept under an insecticide-treated mosquito net (ITN) the night before
the survey</t>
        </r>
      </text>
    </comment>
    <comment ref="B30" authorId="0" guid="{7FCF2647-C8CC-5749-BF45-B013DA97F133}">
      <text>
        <r>
          <rPr>
            <b/>
            <sz val="9"/>
            <color indexed="81"/>
            <rFont val="Tahoma"/>
            <family val="2"/>
          </rPr>
          <t>Will Snell:</t>
        </r>
        <r>
          <rPr>
            <sz val="9"/>
            <color indexed="81"/>
            <rFont val="Tahoma"/>
            <family val="2"/>
          </rPr>
          <t xml:space="preserve">
Diarrhoea treatment (ORS, ORT, continued feeding)</t>
        </r>
      </text>
    </comment>
    <comment ref="B31" authorId="0" guid="{4706409A-8D94-674C-92FA-B07BB1407985}">
      <text>
        <r>
          <rPr>
            <b/>
            <sz val="9"/>
            <color indexed="81"/>
            <rFont val="Tahoma"/>
            <family val="2"/>
          </rPr>
          <t>Will Snell:</t>
        </r>
        <r>
          <rPr>
            <sz val="9"/>
            <color indexed="81"/>
            <rFont val="Tahoma"/>
            <family val="2"/>
          </rPr>
          <t xml:space="preserve">
Under-fives taken for treatment when have ARI symptoms</t>
        </r>
      </text>
    </comment>
  </commentList>
</comments>
</file>

<file path=xl/sharedStrings.xml><?xml version="1.0" encoding="utf-8"?>
<sst xmlns="http://schemas.openxmlformats.org/spreadsheetml/2006/main" count="227" uniqueCount="182">
  <si>
    <t>People listening to the campaign in Burkina Faso</t>
  </si>
  <si>
    <t>Proportion of people who listened to the radio in the past week in Burkina Faso</t>
  </si>
  <si>
    <t>Proportion of people who listened to the campaign in Burkina Faso</t>
  </si>
  <si>
    <t>Increase in treatment seeking due to the campaign among those who listened to the campaign in Burkina Faso</t>
  </si>
  <si>
    <t>"In case of cough or fast/difficult breathing: Treatment seeking": Crude difference-in-difference (DiD) = 7.6%, Cluster DiD = 6.6%,  Cluster DiD adjusted for distance from health facility = 10.3% [Midline report]</t>
  </si>
  <si>
    <t>"In case of fever: Treatment seeking": Crude difference-in-difference (DiD) = 7%, Cluster DiD = 6.1%, Cluster DiD adjusted for distance from health facility = 9.1% [Midline report]</t>
  </si>
  <si>
    <t>"In case of diarrhoea: Treatment seeking": Crude difference-in-difference (DiD) = 11.5%, Cluster DiD = 12.9%, Cluster DiD adjusted for distance from health facility = 16% [Midline report]</t>
  </si>
  <si>
    <t>Proportion of people who listened to the radio in the past week</t>
  </si>
  <si>
    <t>Proportion of people who listened to the radio who listened to campaign</t>
  </si>
  <si>
    <t>Assume the same as in Burkina Faso</t>
  </si>
  <si>
    <t>Increase in treatment seeking for cough or fast/difficult breathing due to the campaign among people who listened to the campaign</t>
  </si>
  <si>
    <t>Increase in treatment seeking for fever due to the campaign among people who listened to the campaign</t>
  </si>
  <si>
    <t>Increase in treatment seeking for diarrhea due to the campaign among people who listened to the campaign</t>
  </si>
  <si>
    <t>People listening to the campaign in DRC</t>
  </si>
  <si>
    <t>Increase in treatment seeking for suspected cases due to the campaign in DRC</t>
  </si>
  <si>
    <t>Drug quality: Proportion of treatments prescribed that are of sufficient quality</t>
  </si>
  <si>
    <t>Guess</t>
  </si>
  <si>
    <t>Compliance: Proportion of those prescribed a treatment that comply with the treatment</t>
  </si>
  <si>
    <t>Timeliness: Proportion of those prescribed treatment on time</t>
  </si>
  <si>
    <t>Availability: Proportion of cases seeking treatment that receive treatment</t>
  </si>
  <si>
    <t>Effective coverage before the campaign</t>
  </si>
  <si>
    <t>Effective coverage after the campaign</t>
  </si>
  <si>
    <t>Treatment effectiveness</t>
  </si>
  <si>
    <t>Antimalarials</t>
  </si>
  <si>
    <t>ORS</t>
  </si>
  <si>
    <t>Percent reduction in cause-specific mortality at 100% effective antibiotic coverage</t>
  </si>
  <si>
    <t>Percent reduction in cause-specific mortality at 100% effective antimalarial coverage</t>
  </si>
  <si>
    <t>Percent reduction in cause-specific mortality at 100% effective ORS coverage</t>
  </si>
  <si>
    <t>Campaign listenership and increase in treatment seeking for suspected cases due to the campaign</t>
  </si>
  <si>
    <t>Pneumonia deaths averted</t>
  </si>
  <si>
    <t>Percent reduction in cause-specific mortality due to increase in effective coverage</t>
  </si>
  <si>
    <t>Effective coverage and mortality reduction</t>
  </si>
  <si>
    <t>Malaria deaths averted</t>
  </si>
  <si>
    <t>Diarrhea deaths averted</t>
  </si>
  <si>
    <t>Cost per life saved</t>
  </si>
  <si>
    <t>Scaling adjustment</t>
  </si>
  <si>
    <t>Compare to 75% of all women that recognized at least 1 of 2 spots played - 20% in the control = 55% [Midline report]</t>
  </si>
  <si>
    <t>Proportion of people who will listen to campaign</t>
  </si>
  <si>
    <t xml:space="preserve">Antibiotics for pneumonia </t>
  </si>
  <si>
    <t>Expected years of program</t>
  </si>
  <si>
    <t>Cost per year - DRC</t>
  </si>
  <si>
    <t>Cost per year - DMI's central costs</t>
  </si>
  <si>
    <t>Adjustments for strength of evidence</t>
  </si>
  <si>
    <t>Replicability adjustment to account for the lack of multiple RCTs</t>
  </si>
  <si>
    <t>Adjusted increase in treatment seeking for cough or fast/difficult breathing due to the campaign among people who listened to the campaign in Burkina Faso</t>
  </si>
  <si>
    <t>Adjusted increase in treatment seeking for fever due to the campaign among people who listened to the campaign in Burkina Faso</t>
  </si>
  <si>
    <t>Adjusted increase in treatment seeking for diarrhea due to the campaign among people who listened to the campaign in Burkina Faso</t>
  </si>
  <si>
    <t>Adjustment for the midline results being self-reported</t>
  </si>
  <si>
    <t>Guess, based on Wood 2007: "n trials with subjective outcomes effect estimates were exaggerated when there was inadequate or unclear allocation concealment (ratio of odds ratios 0.69 (95% CI 0.59 to 0.82)) or lack of blinding (0.75 (0.61 to 0.93))." http://www.bmj.com/content/336/7644/601</t>
  </si>
  <si>
    <t>Province</t>
  </si>
  <si>
    <t>Bandundu</t>
  </si>
  <si>
    <t>Bas Congo</t>
  </si>
  <si>
    <t>Equateur</t>
  </si>
  <si>
    <t>Kasai Occidental</t>
  </si>
  <si>
    <t>Kasai Oriental</t>
  </si>
  <si>
    <t>Katanga</t>
  </si>
  <si>
    <t>Kinshasa</t>
  </si>
  <si>
    <t>Maniema</t>
  </si>
  <si>
    <t>North Kivu</t>
  </si>
  <si>
    <t>Orientale</t>
  </si>
  <si>
    <t>South Kivu</t>
  </si>
  <si>
    <r>
      <t xml:space="preserve">DEMOGRAPHICS </t>
    </r>
    <r>
      <rPr>
        <sz val="11"/>
        <rFont val="Calibri"/>
        <family val="2"/>
        <scheme val="minor"/>
      </rPr>
      <t>(UN/WB, 2010, AND DHS, 2007)</t>
    </r>
  </si>
  <si>
    <t>Population</t>
  </si>
  <si>
    <t>Area (km2)</t>
  </si>
  <si>
    <t>Density</t>
  </si>
  <si>
    <t>Capital</t>
  </si>
  <si>
    <t>Matadi</t>
  </si>
  <si>
    <t>Mbandaka</t>
  </si>
  <si>
    <t>Kananga</t>
  </si>
  <si>
    <t>Mbuji-Mayi</t>
  </si>
  <si>
    <t>Lubumbashi</t>
  </si>
  <si>
    <t>Kindu</t>
  </si>
  <si>
    <t>Goma</t>
  </si>
  <si>
    <t>Kisangani</t>
  </si>
  <si>
    <t>Bukavu</t>
  </si>
  <si>
    <t>Urban %</t>
  </si>
  <si>
    <t>Rural %</t>
  </si>
  <si>
    <t>Urban population</t>
  </si>
  <si>
    <t>Rural population</t>
  </si>
  <si>
    <t>People aged 15+</t>
  </si>
  <si>
    <t>Urban 15+</t>
  </si>
  <si>
    <t>Rural 15+</t>
  </si>
  <si>
    <t>Languages</t>
  </si>
  <si>
    <t>Kikongo/Lingala</t>
  </si>
  <si>
    <t>Kikongo</t>
  </si>
  <si>
    <t>Lingala</t>
  </si>
  <si>
    <t>Tshiluba</t>
  </si>
  <si>
    <t>Swahili/Tshiluba</t>
  </si>
  <si>
    <t>Swahili</t>
  </si>
  <si>
    <t>French/Lingala</t>
  </si>
  <si>
    <t>Lingala/Swahili</t>
  </si>
  <si>
    <t>Literacy</t>
  </si>
  <si>
    <t>Poverty</t>
  </si>
  <si>
    <r>
      <t xml:space="preserve">HEALTH STATISTICS </t>
    </r>
    <r>
      <rPr>
        <sz val="12"/>
        <color theme="1"/>
        <rFont val="Calibri"/>
        <family val="2"/>
        <scheme val="minor"/>
      </rPr>
      <t>(MICS, 2010)</t>
    </r>
  </si>
  <si>
    <t>U5MR</t>
  </si>
  <si>
    <t>Fertility</t>
  </si>
  <si>
    <t>U5Ds</t>
  </si>
  <si>
    <r>
      <t xml:space="preserve">HEALTH BEHAVIOURS </t>
    </r>
    <r>
      <rPr>
        <sz val="12"/>
        <color theme="1"/>
        <rFont val="Calibri"/>
        <family val="2"/>
        <scheme val="minor"/>
      </rPr>
      <t>(MICS, 2010)</t>
    </r>
  </si>
  <si>
    <t>ANC</t>
  </si>
  <si>
    <t>DIF</t>
  </si>
  <si>
    <t>EBF</t>
  </si>
  <si>
    <t>Vaccination</t>
  </si>
  <si>
    <t>ITNs</t>
  </si>
  <si>
    <t>DTX</t>
  </si>
  <si>
    <t>ARI TS</t>
  </si>
  <si>
    <r>
      <t xml:space="preserve">From </t>
    </r>
    <r>
      <rPr>
        <i/>
        <sz val="12"/>
        <color theme="1"/>
        <rFont val="Calibri"/>
        <scheme val="minor"/>
      </rPr>
      <t>DRC Campaign Design V2</t>
    </r>
  </si>
  <si>
    <t>Provinces included in regional, community station based campaigns</t>
  </si>
  <si>
    <t>Provinces not included</t>
  </si>
  <si>
    <t>Weighted</t>
  </si>
  <si>
    <t>U5MR in priority provinces</t>
  </si>
  <si>
    <t>Overall U5MR</t>
  </si>
  <si>
    <t>Ratio of priority provinces to national</t>
  </si>
  <si>
    <t>Percentage point increase in treatment seeking for cough or fast/difficult breathing due to the campaign in Burkina Faso</t>
  </si>
  <si>
    <t>Percentage point increase in treatment seeking for fever due to the campaign in Burkina Faso</t>
  </si>
  <si>
    <t>Percentage point increase in treatment seeking for diarrhea due to the campaign in Burkina Faso</t>
  </si>
  <si>
    <t>Baseline treatment seeking for cough or fast/difficult breathing in Burkina Faso</t>
  </si>
  <si>
    <t>Baseline treatment seeking for fever in Burkina Faso</t>
  </si>
  <si>
    <t>Baseline treatment seeking for diarrhea in Burkina Faso</t>
  </si>
  <si>
    <t>Percentage of non-treatment seekers who become treatment seekers for cough or fast/difficult breathing due to the campaign in Burkina Faso</t>
  </si>
  <si>
    <t>Percentage of non-treatment seekers who become treatment seekers for fever due to the campaign in Burkina Faso</t>
  </si>
  <si>
    <t>Percentage of non-treatment seekers who become treatment seekers for diarrhea due to the campaign in Burkina Faso</t>
  </si>
  <si>
    <t>Increase in treatment seeking among previous non-seekers for cough or fast/difficult breathing due to the campaign among people who listened to the campaign in Burkina Faso</t>
  </si>
  <si>
    <t>Increase in treatment seeking among previous non-seekers for fever due to the campaign among people who listened to the campaign in Burkina Faso</t>
  </si>
  <si>
    <t>Increase in treatment seeking among previous non-seekers for diarrhea due to the campaign among people who listened to the campaign in Burkina Faso</t>
  </si>
  <si>
    <t>Assumes people who were previously seeking treatment and those who weren't previously seeking treatment were equally likely to listen to the campaign</t>
  </si>
  <si>
    <t>See sheet 'Regional Data (only for Scen 2)'</t>
  </si>
  <si>
    <t>Average of baseline in treatment group and control group, weighted by size of group [Midline report]</t>
  </si>
  <si>
    <t>Guess. Rough midpoint of the low end and high end of Ioannidis 2005's theoretical replicability (Table 4 in http://www.plosmedicine.org/article/info:doi/10.1371/journal.pmed.0020124): between "Adequately powered RCT with little bias and 1:1 pre-study odds" and "Underpowered but well-performed Phase I/II RCT". Note that GiveWell used this same 50% replicability adjustment for deworming in our 2013 cost effectiveness model: http://www.givewell.org/files/DWDA%202009/2013%20GiveWell%20Cost%20effectiveness%20analysis%20final.xlsx (See cell G8 of the model)</t>
  </si>
  <si>
    <t>Urban listener adjustment - the DRC campaign will be primarily on Radio Okapi, whose listeners are expected to be better educated and more urban, so is likely to be somewhat less effective than a rural campaign</t>
  </si>
  <si>
    <t>Increase in treatment seeking among previous non-seekers for diarrhea due to the campaign</t>
  </si>
  <si>
    <t>Increase in treatment seeking among previous non-seekers for fever due to the campaign</t>
  </si>
  <si>
    <t>Increase in treatment seeking among previous non-seekers for cough or fast/difficult breathing due to the campaign</t>
  </si>
  <si>
    <t>Cost per life saved when program is running at full effect</t>
  </si>
  <si>
    <t>http://www.givewell.org/international/technical/programs/insecticide-treated-nets#HowcosteffectiveisLLINdistribution</t>
  </si>
  <si>
    <t>Sources</t>
  </si>
  <si>
    <t>Lives Saved Tool (LiST)</t>
  </si>
  <si>
    <t>Conversation with Will Snell on July 31st, 2014</t>
  </si>
  <si>
    <t>Coverage before the campaign in DRC</t>
  </si>
  <si>
    <t>Pneumonia deaths between ages 28 days and 59 months per year in DRC</t>
  </si>
  <si>
    <t>Malaria deaths between ages 28 days and 59 months per year in DRC</t>
  </si>
  <si>
    <t>Diarrhea deaths between ages 28 days and 59 months per year in DRC</t>
  </si>
  <si>
    <t>DMI's national campaign takes place primarily on Radio Okapi, which has around 21 million weekly listeners, out of a national population of roughly 67.5 million. [7/31 call] We adjust this by the ratio of female to male radio listeners. (31% of women and 51% of men listen to the radio [DMI Model] , so multiply by 31%/(average(31%,51%))</t>
  </si>
  <si>
    <t>Proportion of people who listened to the radio who listened to campaign in Burkina Faso (By default, this value is assumed to be the same in future campaigns (See Row 39), and therefore "cancels out" of the final estimate)</t>
  </si>
  <si>
    <t>Proportion of women are regular radio listeners who recognized at least one of two spots played for them in treatment minus control. [Based on interpretation of graph, Figure 7A, Midline Report, Preliminary Results)]</t>
  </si>
  <si>
    <t>Theodoratou (2010) - metanalyses reference for the Lives Saved Tool (LiST) (http://ije.oxfordjournals.org/content/39/suppl_1/i155.full) "We estimate that community case management of pneumonia could result in a 70% reduction in mortality from pneumonia in 0–5-year-old children."</t>
  </si>
  <si>
    <t>Effective years of benefit of program (assumes that early years of program only have a fraction of the benefits of a full year)</t>
  </si>
  <si>
    <t>Assumes that the midline results (that are used in this model), from 20 months into the program, represent the full impact of the program, and assumes that the impact scales up linearly over the first 20 months. So the effect in the first 20 months is only half of the full impact, so subtract 1/2 of the impact for the first 20 months (which is 20/12 = 1.66 years)</t>
  </si>
  <si>
    <t>Affected fraction (percent of deaths due to pneumonia that are curable by antibiotics)</t>
  </si>
  <si>
    <t>Affected fraction (percent of deaths due to malaria that are curable by antimalarials)</t>
  </si>
  <si>
    <t>Affected fraction (percent of deaths due to diarrhea that are curable by ORS)</t>
  </si>
  <si>
    <t>Assuming that all antimalarials are of sufficient quality, but using slightly below 100% to account for a small proportion of fake antimalarials. Compare to: "Among outlets stocking antimalarials, first-line quality assured ACT (FAACT) was more commonly available in the public/not for profit sector compared to the private sector (76% vs. 26%). Only 1 in 4 drug stores stocked FAACT, compared to 3 in 4 public/not for profit outlets. Stocking rates of non- artemisinin monotherapies were above 90% for all outlet categories. Oral artemisinin monotherapy was observed more often in for-profit outlets (41%) than in public/not for profit outlets (10%). Half of all drug stores with antimalarials in stock stocked oral artemisinin monotherapy." [ACTWatch 2009 DRC Outlet Survey Report: http://www.actwatch.info/sites/default/files/content/outlet-reports/DRC%20OS%20Report_2009.pdf]</t>
  </si>
  <si>
    <t>Lives Saved Tool (LiST) but original source unclear. We have not conducted a thorough investigation of the effectiveness of antimalarials, but believe it is unlikely to be much below 84% (see for example http://www.who.int/malaria/areas/treatment/drug_efficacy/en/ and http://www.malariajournal.com/content/7/1/55 "All treatment regimens, except for the chloroquine (CQ) treatment group, resulted in clinical cure rates above 97.6% by day-14 and 96.7% by day-28 (adjusted by genotyping)"</t>
  </si>
  <si>
    <t>Munos (2010) - metanalyses reference for the Lives Saved Tool (LiST) (http://ije.oxfordjournals.org/content/39/suppl_1/i75.full "We estimated that ORS may prevent 93% of diarrhoea deaths.")</t>
  </si>
  <si>
    <t xml:space="preserve">Assume the same rate among suspected pneumonia as pneumonia. DHS DRC 2013-2014 Preliminary report, Table 8: http://dhsprogram.com/publications/publication-PR48-Preliminary-Reports.cfm (pg. 31, bottom row of first column); For translation of table terms see DHS Namibia 2013 Preliminary Report Table 10: http://dhsprogram.com/publications/publication-PR44-Preliminary-Reports.cfm </t>
  </si>
  <si>
    <t xml:space="preserve">DHS DRC 2013-2014 Preliminary report, Table 8: http://dhsprogram.com/publications/publication-PR48-Preliminary-Reports.cfm (pg. 31, bottom of third column); For translation of table terms, see DHS Namibia 2013 Preliminary Report Table 10: http://dhsprogram.com/publications/publication-PR44-Preliminary-Reports.cfm </t>
  </si>
  <si>
    <t xml:space="preserve">DHS DRC 2013-2014 Preliminary report, Table 8: http://dhsprogram.com/publications/publication-PR48-Preliminary-Reports.cfm (pg. 31, bottom of third column from right); For translation of table terms, see DHS Namibia 2013 Preliminary Report Table 10: http://dhsprogram.com/publications/publication-PR44-Preliminary-Reports.cfm </t>
  </si>
  <si>
    <t>IHME Global Burden of Disease (http://vizhub.healthdata.org/gbd-compare/) [w/ search parameters: "Age plot" "Cause of Disease …" "A.3.1. Malaria" "DRC" "2010" "Both" "#s", adding 28-364 day point estimate to 1-4 year point estimate = 73,667]</t>
  </si>
  <si>
    <t>IHME Global Burden of Disease (http://vizhub.healthdata.org/gbd-compare/)[w/ search parameters: "Age plot" "Cause of Disease …" "A.2.1. Diarrheal diseases" "DRC" "2010" "Both" "#s", adding 28-364 day point estimate to 1-4 year point estimate = 48,569]</t>
  </si>
  <si>
    <t>IHME Global Burden of Disease (http://vizhub.healthdata.org/gbd-compare/) [w/ search parameters: "Age plot" "Cause of Disease …" "A.2.3. Lower Respiratory Infections"#s", adding 28-364 day point estimate to 1-4 year point estimate =35908]</t>
  </si>
  <si>
    <t>No urban listener adjustment for community radio campaign</t>
  </si>
  <si>
    <t>IHME Global Burden of Disease (http://vizhub.healthdata.org/gbd-compare/) [w/ search parameters: "Age plot" "Cause of Disease …" "A.3.1. Malaria" "DRC" "2010" "Both" "#s", adding 28-364 day point estimate to 1-4 year point estimate = 73,667] Adjusted up because work is taking place is higher mortality provinces in this scenario.</t>
  </si>
  <si>
    <t>IHME Global Burden of Disease (http://vizhub.healthdata.org/gbd-compare/)[w/ search parameters: "Age plot" "Cause of Disease …" "A.2.1. Diarrheal diseases" "DRC" "2010" "Both" "#s", adding 28-364 day point estimate to 1-4 year point estimate = 48,569] Adjusted up because work is taking place is higher mortality provinces in this scenario.</t>
  </si>
  <si>
    <t>Coverage after the campaign in DRC</t>
  </si>
  <si>
    <t>MICS 2010: Percent children &lt;5 years with suspected pneumonia receiving antibiotics / Percent children &lt;5 years with suspected pneumonia taken to any kind of health provider  = 42%/40% = about 100% [http://reliefweb.int/sites/reliefweb.int/files/resources/MICS-RDC_2010_Summary_Report_EN.pdf] ; Adjusting down to be conservative as 100% seems unlikely. Compare to 60%, the average of the % of treatment seekers receiving treatment among the control at baseline, the control at midline, the treatment group at baseline and the treatment group at midline (in DMI's Burkina Faso Midline Results)</t>
  </si>
  <si>
    <t>All scenarios are based on a regional campaign on community radio stations unless otherwise noted</t>
  </si>
  <si>
    <t>Using figure adjusted for distance to health centers</t>
  </si>
  <si>
    <t>Using public and private-not-for-profit outlets. "As shown in Figure 1, antimalarials were available in over 95% of screened outlets, with the exception of private for profit health facilities (76%) and general retailers (2%). General retailers are boutiques, kiosks and market stalls and were included in the survey to verify an assumption that such outlets in DRC do not generally stock antimalarials. On the day of interview, any antimalarial was available in 97% of public and private-not-for-profit outlets, and 97% of drug stores. Antimalarials were available in 25% of private sector outlets screened; this figure rises to 90% if the general retailer category is excluded." [ACTWatch 2009 DRC Outlet Survey Report: http://www.actwatch.info/sites/default/files/content/outlet-reports/DRC%20OS%20Report_2009.pdf] Compare to 60%, the average of the % of treatment seekers receiving treatment among the control at baseline, the control at midline, the treatment group at baseline and the treatment group at midline (in DMI's Burkina Faso Midline Results)</t>
  </si>
  <si>
    <t>Percent children &lt;5 years with diarrhea receiving ORS / Percent children &lt;5 years with diarrhea taken to appropriate health provider  = 39.1%/39.0% = about 100%. DHS DRC 2013-2014 Preliminary report, Table 8: http://dhsprogram.com/publications/publication-PR48-Preliminary-Reports.cfm For translation see DHS Namibia 2013 Preliminary Report Table 10: http://dhsprogram.com/publications/publication-PR44-Preliminary-Reports.cfm ; Adjusting down to be conservative as 100% seems unlikely. Compare to 37%, the average of the % of treatment seekers receiving treatment among the control at baseline, the control at midline, the treatment group at baseline and the treatment group at midline (in DMI's Burkina Faso Midline Results)</t>
  </si>
  <si>
    <t>DMI DRC MNCH Proposal July 2014 reports 2.45m listeners, so assuming those are daily listeners, adjusting by the ratio of daily (15.25m) to weekly (21m) listeners. We adjust this by the ratio of female to male radio listeners. (31% of women and 51% of men listen to the radio [DMI Model] , so multiply by 31%/(average(31%,51%))</t>
  </si>
  <si>
    <t>Assumes that the 2.45 million daily listeners of stations in DRC that DMI will operate on will listen to the campaign at a higher rate then radio listeners in Burkina Faso did</t>
  </si>
  <si>
    <t>[DMI DRC Proposal July 2014]</t>
  </si>
  <si>
    <t>Implies DMI is X times as cost effective as bednets:</t>
  </si>
  <si>
    <t>51% Weekly radio listeners in Burkina Faso, females from DHS [DMI Model]</t>
  </si>
  <si>
    <t>Not statistically significant in midline results</t>
  </si>
  <si>
    <t>Guess. based on "Adequately powered RCT with little bias and 1:1 pre-study odds" in Ioannidis 2005's theoretical replicability (Table 4 in http://www.plosmedicine.org/article/info:doi/10.1371/journal.pmed.0020124). Note that GiveWell used 50% replicability adjustment for deworming in our 2013 cost effectiveness model: http://www.givewell.org/files/DWDA%202009/2013%20GiveWell%20Cost%20effectiveness%20analysis%20final.xlsx (See cell G8 of the model)</t>
  </si>
  <si>
    <t>Guess. based on "Underpowered but well-performed Phase I/II RCT" from Ioannidis 2005's theoretical replicability (Table 4 in http://www.plosmedicine.org/article/info:doi/10.1371/journal.pmed.0020124). Note that GiveWell used 50% replicability adjustment for deworming in our 2013 cost effectiveness model: http://www.givewell.org/files/DWDA%202009/2013%20GiveWell%20Cost%20effectiveness%20analysis%20final.xlsx (See cell G8 of the model)</t>
  </si>
  <si>
    <t>Community Radio Campaign</t>
  </si>
  <si>
    <t>National Radio Okapi Campaign</t>
  </si>
  <si>
    <t>Pessimistic (community radio)</t>
  </si>
  <si>
    <t>Optimistic (community radio)</t>
  </si>
  <si>
    <t>half a year of scale-up</t>
  </si>
  <si>
    <t>London office costs $1 million and can support up to 5 countries [Conversation with Will Snell on July 31st,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</si>
</sst>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_(&quot;$&quot;* #,##0_);_(&quot;$&quot;* \(#,##0\);_(&quot;$&quot;* &quot;-&quot;??_);_(@_)"/>
    <numFmt numFmtId="168" formatCode="_(* #,##0.0_);_(* \(#,##0.0\);_(* &quot;-&quot;??_);_(@_)"/>
    <numFmt numFmtId="169" formatCode="0.0"/>
  </numFmts>
  <fonts count="20" x14ac:knownFonts="1">
    <font>
      <sz val="12"/>
      <color theme="1"/>
      <name val="Calibri"/>
      <family val="2"/>
      <scheme val="minor"/>
    </font>
    <font>
      <sz val="12"/>
      <color theme="1"/>
      <name val="Calibri"/>
      <family val="2"/>
      <charset val="129"/>
      <scheme val="minor"/>
    </font>
    <font>
      <sz val="12"/>
      <color theme="1"/>
      <name val="Calibri"/>
      <family val="2"/>
      <scheme val="minor"/>
    </font>
    <font>
      <sz val="12"/>
      <color rgb="FF3F3F76"/>
      <name val="Calibri"/>
      <family val="2"/>
      <scheme val="minor"/>
    </font>
    <font>
      <b/>
      <sz val="12"/>
      <color rgb="FF3F3F3F"/>
      <name val="Calibri"/>
      <family val="2"/>
      <scheme val="minor"/>
    </font>
    <font>
      <b/>
      <sz val="12"/>
      <color theme="1"/>
      <name val="Calibri"/>
      <family val="2"/>
      <scheme val="minor"/>
    </font>
    <font>
      <sz val="12"/>
      <color rgb="FF000000"/>
      <name val="Calibri"/>
      <family val="2"/>
      <scheme val="minor"/>
    </font>
    <font>
      <sz val="12"/>
      <color theme="1"/>
      <name val="Calibri"/>
    </font>
    <font>
      <b/>
      <sz val="12"/>
      <color rgb="FF000000"/>
      <name val="Calibri"/>
      <family val="2"/>
      <scheme val="minor"/>
    </font>
    <font>
      <u/>
      <sz val="12"/>
      <color theme="10"/>
      <name val="Calibri"/>
      <family val="2"/>
      <scheme val="minor"/>
    </font>
    <font>
      <u/>
      <sz val="12"/>
      <color theme="11"/>
      <name val="Calibri"/>
      <family val="2"/>
      <scheme val="minor"/>
    </font>
    <font>
      <i/>
      <sz val="12"/>
      <color theme="1"/>
      <name val="Calibri"/>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sz val="12"/>
      <name val="Calibri"/>
      <family val="2"/>
      <scheme val="minor"/>
    </font>
    <font>
      <i/>
      <sz val="12"/>
      <color rgb="FF7030A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4"/>
        <bgColor indexed="64"/>
      </patternFill>
    </fill>
    <fill>
      <patternFill patternType="solid">
        <fgColor theme="3" tint="0.79998168889431442"/>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bottom/>
      <diagonal/>
    </border>
    <border>
      <left style="thin">
        <color rgb="FF3F3F3F"/>
      </left>
      <right style="thin">
        <color rgb="FF3F3F3F"/>
      </right>
      <top/>
      <bottom/>
      <diagonal/>
    </border>
  </borders>
  <cellStyleXfs count="470">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2" borderId="1" applyNumberFormat="0" applyAlignment="0" applyProtection="0"/>
    <xf numFmtId="0" fontId="4" fillId="3" borderId="2"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9">
    <xf numFmtId="0" fontId="0" fillId="0" borderId="0" xfId="0"/>
    <xf numFmtId="0" fontId="5" fillId="0" borderId="0" xfId="0" applyFont="1"/>
    <xf numFmtId="0" fontId="6" fillId="0" borderId="0" xfId="0" applyFont="1"/>
    <xf numFmtId="9" fontId="3" fillId="2" borderId="1" xfId="3" applyNumberFormat="1"/>
    <xf numFmtId="9" fontId="0" fillId="0" borderId="0" xfId="0" applyNumberFormat="1"/>
    <xf numFmtId="164" fontId="3" fillId="2" borderId="1" xfId="3" applyNumberFormat="1"/>
    <xf numFmtId="0" fontId="7" fillId="0" borderId="0" xfId="0" applyFont="1"/>
    <xf numFmtId="0" fontId="7" fillId="0" borderId="0" xfId="0" applyFont="1" applyFill="1" applyBorder="1"/>
    <xf numFmtId="9" fontId="0" fillId="0" borderId="0" xfId="2" applyFont="1"/>
    <xf numFmtId="0" fontId="0" fillId="0" borderId="0" xfId="0" applyFont="1"/>
    <xf numFmtId="3" fontId="3" fillId="2" borderId="1" xfId="3" applyNumberFormat="1"/>
    <xf numFmtId="165" fontId="0" fillId="0" borderId="0" xfId="1" applyNumberFormat="1" applyFont="1"/>
    <xf numFmtId="164" fontId="0" fillId="0" borderId="0" xfId="2" applyNumberFormat="1" applyFont="1"/>
    <xf numFmtId="2" fontId="0" fillId="0" borderId="0" xfId="0" applyNumberFormat="1"/>
    <xf numFmtId="166" fontId="4" fillId="3" borderId="2" xfId="4" applyNumberFormat="1"/>
    <xf numFmtId="0" fontId="0" fillId="0" borderId="0" xfId="0" applyBorder="1"/>
    <xf numFmtId="0" fontId="5" fillId="0" borderId="0" xfId="0" applyFont="1" applyAlignment="1">
      <alignment wrapText="1"/>
    </xf>
    <xf numFmtId="0" fontId="0" fillId="0" borderId="0" xfId="0" applyAlignment="1">
      <alignment wrapText="1"/>
    </xf>
    <xf numFmtId="167" fontId="0" fillId="0" borderId="0" xfId="395" applyNumberFormat="1" applyFont="1"/>
    <xf numFmtId="166" fontId="3" fillId="2" borderId="1" xfId="3" applyNumberFormat="1" applyFont="1"/>
    <xf numFmtId="9" fontId="5" fillId="0" borderId="0" xfId="2" applyFont="1"/>
    <xf numFmtId="9" fontId="8" fillId="0" borderId="0" xfId="2" applyFont="1" applyFill="1" applyBorder="1"/>
    <xf numFmtId="168" fontId="0" fillId="0" borderId="0" xfId="1" applyNumberFormat="1" applyFont="1"/>
    <xf numFmtId="167" fontId="5" fillId="0" borderId="0" xfId="395" applyNumberFormat="1" applyFont="1"/>
    <xf numFmtId="167" fontId="5" fillId="0" borderId="0" xfId="0" applyNumberFormat="1" applyFont="1" applyAlignment="1">
      <alignment wrapText="1"/>
    </xf>
    <xf numFmtId="164" fontId="0" fillId="0" borderId="0" xfId="0" applyNumberFormat="1"/>
    <xf numFmtId="9" fontId="0" fillId="0" borderId="0" xfId="2" applyNumberFormat="1" applyFont="1"/>
    <xf numFmtId="9" fontId="6" fillId="0" borderId="0" xfId="2" applyFont="1" applyFill="1" applyBorder="1"/>
    <xf numFmtId="9" fontId="2" fillId="0" borderId="0" xfId="2" applyFont="1" applyAlignment="1">
      <alignment wrapText="1"/>
    </xf>
    <xf numFmtId="0" fontId="2" fillId="0" borderId="0" xfId="0" applyFont="1" applyAlignment="1"/>
    <xf numFmtId="0" fontId="5" fillId="0" borderId="0" xfId="0" applyFont="1" applyFill="1" applyBorder="1" applyAlignment="1">
      <alignment wrapText="1"/>
    </xf>
    <xf numFmtId="167" fontId="5" fillId="0" borderId="0" xfId="0" applyNumberFormat="1" applyFont="1" applyFill="1" applyBorder="1" applyAlignment="1">
      <alignment wrapText="1"/>
    </xf>
    <xf numFmtId="0" fontId="5" fillId="0" borderId="0" xfId="0" applyFont="1" applyFill="1" applyBorder="1"/>
    <xf numFmtId="9" fontId="0" fillId="0" borderId="0" xfId="0" applyNumberFormat="1" applyFill="1" applyBorder="1"/>
    <xf numFmtId="0" fontId="0" fillId="0" borderId="0" xfId="0" applyFill="1" applyBorder="1"/>
    <xf numFmtId="9" fontId="0" fillId="0" borderId="0" xfId="2" applyFont="1" applyFill="1" applyBorder="1"/>
    <xf numFmtId="9" fontId="0" fillId="0" borderId="0" xfId="2" applyNumberFormat="1" applyFont="1" applyFill="1" applyBorder="1"/>
    <xf numFmtId="164" fontId="0" fillId="0" borderId="0" xfId="0" applyNumberFormat="1" applyFill="1" applyBorder="1"/>
    <xf numFmtId="165" fontId="0" fillId="0" borderId="0" xfId="1" applyNumberFormat="1" applyFont="1" applyFill="1" applyBorder="1"/>
    <xf numFmtId="164" fontId="0" fillId="0" borderId="0" xfId="2" applyNumberFormat="1" applyFont="1" applyFill="1" applyBorder="1"/>
    <xf numFmtId="2" fontId="0" fillId="0" borderId="0" xfId="0" applyNumberFormat="1" applyFill="1" applyBorder="1"/>
    <xf numFmtId="168" fontId="0" fillId="0" borderId="0" xfId="1" applyNumberFormat="1" applyFont="1" applyFill="1" applyBorder="1"/>
    <xf numFmtId="167" fontId="0" fillId="0" borderId="0" xfId="395" applyNumberFormat="1" applyFont="1" applyFill="1" applyBorder="1"/>
    <xf numFmtId="9" fontId="3" fillId="0" borderId="3" xfId="3" applyNumberFormat="1" applyFill="1" applyBorder="1"/>
    <xf numFmtId="164" fontId="3" fillId="0" borderId="3" xfId="3" applyNumberFormat="1" applyFill="1" applyBorder="1"/>
    <xf numFmtId="3" fontId="3" fillId="0" borderId="3" xfId="3" applyNumberFormat="1" applyFill="1" applyBorder="1"/>
    <xf numFmtId="166" fontId="3" fillId="0" borderId="3" xfId="3" applyNumberFormat="1" applyFont="1" applyFill="1" applyBorder="1"/>
    <xf numFmtId="166" fontId="4" fillId="0" borderId="4" xfId="4" applyNumberFormat="1" applyFill="1" applyBorder="1"/>
    <xf numFmtId="0" fontId="12" fillId="4" borderId="0" xfId="0" applyFont="1" applyFill="1" applyBorder="1" applyAlignment="1">
      <alignment horizontal="left" vertical="center"/>
    </xf>
    <xf numFmtId="0" fontId="14" fillId="5" borderId="0" xfId="0" applyFont="1" applyFill="1" applyBorder="1" applyAlignment="1">
      <alignment horizontal="left" vertical="center"/>
    </xf>
    <xf numFmtId="0" fontId="14" fillId="0" borderId="0" xfId="0" applyFont="1" applyFill="1" applyBorder="1" applyAlignment="1">
      <alignment horizontal="left" vertical="center"/>
    </xf>
    <xf numFmtId="3" fontId="0"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164"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64" fontId="0" fillId="0" borderId="0" xfId="0" applyNumberFormat="1" applyFill="1" applyBorder="1" applyAlignment="1">
      <alignment horizontal="left" vertical="center"/>
    </xf>
    <xf numFmtId="0" fontId="13" fillId="5" borderId="0" xfId="0" applyFont="1" applyFill="1" applyBorder="1" applyAlignment="1">
      <alignment horizontal="left" vertical="center"/>
    </xf>
    <xf numFmtId="0" fontId="0" fillId="5" borderId="0" xfId="0" applyFont="1" applyFill="1" applyBorder="1" applyAlignment="1">
      <alignment horizontal="left" vertical="center"/>
    </xf>
    <xf numFmtId="169" fontId="0" fillId="0" borderId="0" xfId="0" applyNumberFormat="1" applyFill="1" applyBorder="1" applyAlignment="1">
      <alignment horizontal="left" vertical="center"/>
    </xf>
    <xf numFmtId="3" fontId="0" fillId="0" borderId="0" xfId="0" applyNumberFormat="1" applyFill="1" applyBorder="1" applyAlignment="1">
      <alignment horizontal="left" vertical="center"/>
    </xf>
    <xf numFmtId="169" fontId="0" fillId="5" borderId="0" xfId="0" applyNumberFormat="1" applyFill="1" applyBorder="1" applyAlignment="1">
      <alignment horizontal="left" vertical="center"/>
    </xf>
    <xf numFmtId="9" fontId="0" fillId="0" borderId="0" xfId="0" applyNumberFormat="1" applyFill="1" applyBorder="1" applyAlignment="1">
      <alignment horizontal="left" vertical="center"/>
    </xf>
    <xf numFmtId="9" fontId="0" fillId="0" borderId="0" xfId="0" applyNumberFormat="1" applyFont="1" applyFill="1" applyBorder="1" applyAlignment="1">
      <alignment horizontal="left" vertical="center"/>
    </xf>
    <xf numFmtId="9" fontId="5" fillId="0" borderId="0" xfId="2" applyFont="1" applyAlignment="1">
      <alignment horizontal="right"/>
    </xf>
    <xf numFmtId="164" fontId="3" fillId="0" borderId="0" xfId="3" applyNumberFormat="1" applyFill="1" applyBorder="1"/>
    <xf numFmtId="164" fontId="0" fillId="0" borderId="0" xfId="0" applyNumberFormat="1" applyFont="1"/>
    <xf numFmtId="9" fontId="18" fillId="0" borderId="3" xfId="3" applyNumberFormat="1" applyFont="1" applyFill="1" applyBorder="1"/>
    <xf numFmtId="164" fontId="18" fillId="0" borderId="3" xfId="3" applyNumberFormat="1" applyFont="1" applyFill="1" applyBorder="1"/>
    <xf numFmtId="0" fontId="0" fillId="0" borderId="0" xfId="0" applyFont="1" applyAlignment="1"/>
    <xf numFmtId="9" fontId="5" fillId="0" borderId="0" xfId="2" applyFont="1" applyFill="1"/>
    <xf numFmtId="9" fontId="6" fillId="0" borderId="0" xfId="2" applyFont="1" applyFill="1"/>
    <xf numFmtId="9" fontId="0" fillId="0" borderId="0" xfId="2" applyFont="1" applyFill="1"/>
    <xf numFmtId="9" fontId="19" fillId="0" borderId="0" xfId="2" applyFont="1" applyFill="1"/>
    <xf numFmtId="9" fontId="19" fillId="0" borderId="0" xfId="2" applyFont="1" applyFill="1" applyBorder="1"/>
    <xf numFmtId="9" fontId="19" fillId="0" borderId="0" xfId="2" applyFont="1"/>
    <xf numFmtId="0" fontId="18" fillId="0" borderId="0" xfId="0" applyFont="1"/>
    <xf numFmtId="0" fontId="0" fillId="0" borderId="0" xfId="0" applyFill="1"/>
  </cellXfs>
  <cellStyles count="470">
    <cellStyle name="Comma" xfId="1" builtinId="3"/>
    <cellStyle name="Currency" xfId="395" builtin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Input" xfId="3" builtinId="20"/>
    <cellStyle name="Normal" xfId="0" builtinId="0"/>
    <cellStyle name="Output" xfId="4" builtinId="21"/>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revisionHeaders" Target="revisions/revisionHeaders.xml"/><Relationship Id="rId9" Type="http://schemas.openxmlformats.org/officeDocument/2006/relationships/usernames" Target="revisions/userNames1.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60"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67C2425-4A2A-094F-9067-C523E63E8E0A}" diskRevisions="1" revisionId="551" version="6" keepChangeHistory="0">
  <header guid="{267C2425-4A2A-094F-9067-C523E63E8E0A}" dateTime="2014-10-07T09:21:40" maxSheetId="3" userName="Devin Jacob" r:id="rId60">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4AA915B-EC3C-7A4D-B706-7A05279073E5}"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abSelected="1" zoomScale="150" zoomScaleNormal="150" zoomScalePageLayoutView="150" workbookViewId="0">
      <pane ySplit="3" topLeftCell="A17" activePane="bottomLeft" state="frozenSplit"/>
      <selection pane="bottomLeft"/>
    </sheetView>
  </sheetViews>
  <sheetFormatPr baseColWidth="10" defaultColWidth="11.1640625" defaultRowHeight="15" x14ac:dyDescent="0"/>
  <cols>
    <col min="1" max="1" width="48.33203125" style="8" customWidth="1"/>
    <col min="2" max="2" width="14.6640625" customWidth="1"/>
    <col min="3" max="3" width="7.6640625" customWidth="1"/>
    <col min="4" max="4" width="16.33203125" customWidth="1"/>
    <col min="5" max="5" width="0.6640625" style="34" customWidth="1"/>
    <col min="6" max="6" width="13.1640625" customWidth="1"/>
    <col min="7" max="7" width="0.6640625" customWidth="1"/>
    <col min="8" max="8" width="11.6640625" customWidth="1"/>
    <col min="9" max="9" width="14.33203125" customWidth="1"/>
  </cols>
  <sheetData>
    <row r="1" spans="1:9" ht="66.5" customHeight="1">
      <c r="A1" s="28"/>
      <c r="B1" s="16" t="s">
        <v>176</v>
      </c>
      <c r="C1" s="17" t="s">
        <v>134</v>
      </c>
      <c r="D1" s="16" t="s">
        <v>177</v>
      </c>
      <c r="E1" s="30"/>
      <c r="F1" s="16" t="s">
        <v>179</v>
      </c>
      <c r="G1" s="17"/>
      <c r="H1" s="16" t="s">
        <v>178</v>
      </c>
    </row>
    <row r="2" spans="1:9">
      <c r="A2" s="20"/>
      <c r="B2" s="70" t="s">
        <v>164</v>
      </c>
      <c r="C2" s="29"/>
      <c r="D2" s="16"/>
      <c r="E2" s="30"/>
      <c r="F2" s="16"/>
      <c r="G2" s="17"/>
      <c r="H2" s="16"/>
    </row>
    <row r="3" spans="1:9">
      <c r="A3" s="65" t="s">
        <v>34</v>
      </c>
      <c r="B3" s="24">
        <f>B123</f>
        <v>3363.0606904724873</v>
      </c>
      <c r="C3" s="17"/>
      <c r="D3" s="24">
        <f>D123</f>
        <v>3124.0188604495829</v>
      </c>
      <c r="E3" s="31"/>
      <c r="F3" s="24">
        <f>F123</f>
        <v>908.286221964589</v>
      </c>
      <c r="G3" s="17"/>
      <c r="H3" s="24">
        <f>H123</f>
        <v>15758.602060658368</v>
      </c>
    </row>
    <row r="4" spans="1:9">
      <c r="A4" s="20"/>
      <c r="B4" s="16"/>
      <c r="C4" s="17"/>
      <c r="D4" s="16"/>
      <c r="E4" s="30"/>
      <c r="F4" s="16"/>
      <c r="G4" s="17"/>
      <c r="H4" s="16"/>
    </row>
    <row r="5" spans="1:9">
      <c r="A5" s="20" t="s">
        <v>28</v>
      </c>
      <c r="B5" s="1"/>
      <c r="D5" s="1"/>
      <c r="E5" s="32"/>
    </row>
    <row r="6" spans="1:9">
      <c r="A6" s="20"/>
      <c r="B6" s="1"/>
      <c r="D6" s="1"/>
      <c r="E6" s="32"/>
    </row>
    <row r="7" spans="1:9">
      <c r="A7" s="74" t="s">
        <v>0</v>
      </c>
      <c r="B7" s="1"/>
      <c r="D7" s="1"/>
      <c r="E7" s="32"/>
    </row>
    <row r="8" spans="1:9">
      <c r="A8" s="71"/>
      <c r="B8" s="1"/>
      <c r="D8" s="1"/>
      <c r="E8" s="32"/>
    </row>
    <row r="9" spans="1:9">
      <c r="A9" s="72" t="s">
        <v>1</v>
      </c>
      <c r="B9" s="3">
        <v>0.51</v>
      </c>
      <c r="C9" t="s">
        <v>172</v>
      </c>
      <c r="D9" s="3">
        <v>0.51</v>
      </c>
      <c r="E9" s="43"/>
      <c r="F9" s="3">
        <v>0.51</v>
      </c>
      <c r="H9" s="3">
        <v>0.51</v>
      </c>
    </row>
    <row r="10" spans="1:9">
      <c r="A10" s="72" t="s">
        <v>142</v>
      </c>
      <c r="B10" s="3">
        <f>0.88-0.28</f>
        <v>0.6</v>
      </c>
      <c r="C10" t="s">
        <v>143</v>
      </c>
      <c r="D10" s="3">
        <f>0.88-0.28</f>
        <v>0.6</v>
      </c>
      <c r="E10" s="43"/>
      <c r="F10" s="3">
        <f>0.88-0.28</f>
        <v>0.6</v>
      </c>
      <c r="H10" s="3">
        <f>0.88-0.28</f>
        <v>0.6</v>
      </c>
    </row>
    <row r="11" spans="1:9">
      <c r="A11" s="73" t="s">
        <v>2</v>
      </c>
      <c r="B11" s="4">
        <f>B9*B10</f>
        <v>0.30599999999999999</v>
      </c>
      <c r="C11" s="2" t="s">
        <v>36</v>
      </c>
      <c r="D11" s="4">
        <f>D9*D10</f>
        <v>0.30599999999999999</v>
      </c>
      <c r="E11" s="33"/>
      <c r="F11" s="4">
        <f>F9*F10</f>
        <v>0.30599999999999999</v>
      </c>
      <c r="H11" s="4">
        <f>H9*H10</f>
        <v>0.30599999999999999</v>
      </c>
    </row>
    <row r="12" spans="1:9">
      <c r="A12" s="73"/>
      <c r="B12" s="4"/>
      <c r="C12" s="2"/>
      <c r="D12" s="4"/>
      <c r="E12" s="33"/>
      <c r="F12" s="4"/>
      <c r="H12" s="4"/>
    </row>
    <row r="13" spans="1:9">
      <c r="A13" s="74" t="s">
        <v>3</v>
      </c>
    </row>
    <row r="14" spans="1:9">
      <c r="A14" s="71"/>
    </row>
    <row r="15" spans="1:9">
      <c r="A15" s="73" t="s">
        <v>112</v>
      </c>
      <c r="B15" s="5">
        <v>6.6000000000000003E-2</v>
      </c>
      <c r="C15" s="6" t="s">
        <v>4</v>
      </c>
      <c r="D15" s="5">
        <v>6.6000000000000003E-2</v>
      </c>
      <c r="E15" s="44"/>
      <c r="F15" s="5">
        <v>0.10299999999999999</v>
      </c>
      <c r="G15" t="s">
        <v>165</v>
      </c>
      <c r="H15" s="5">
        <v>0</v>
      </c>
      <c r="I15" t="s">
        <v>173</v>
      </c>
    </row>
    <row r="16" spans="1:9">
      <c r="A16" s="73" t="s">
        <v>113</v>
      </c>
      <c r="B16" s="5">
        <v>6.0999999999999999E-2</v>
      </c>
      <c r="C16" s="7" t="s">
        <v>5</v>
      </c>
      <c r="D16" s="5">
        <v>6.0999999999999999E-2</v>
      </c>
      <c r="E16" s="44"/>
      <c r="F16" s="5">
        <v>9.0999999999999998E-2</v>
      </c>
      <c r="G16" t="s">
        <v>165</v>
      </c>
      <c r="H16" s="5">
        <v>0</v>
      </c>
      <c r="I16" t="s">
        <v>173</v>
      </c>
    </row>
    <row r="17" spans="1:9">
      <c r="A17" s="73" t="s">
        <v>114</v>
      </c>
      <c r="B17" s="5">
        <v>0.129</v>
      </c>
      <c r="C17" s="6" t="s">
        <v>6</v>
      </c>
      <c r="D17" s="5">
        <v>0.129</v>
      </c>
      <c r="E17" s="44"/>
      <c r="F17" s="5">
        <v>0.16</v>
      </c>
      <c r="G17" t="s">
        <v>165</v>
      </c>
      <c r="H17" s="5">
        <v>0.129</v>
      </c>
    </row>
    <row r="18" spans="1:9">
      <c r="A18" s="73" t="s">
        <v>115</v>
      </c>
      <c r="B18" s="5">
        <f>(759*0.557+736*0.433)/(759+736)</f>
        <v>0.49595384615384619</v>
      </c>
      <c r="C18" s="6" t="s">
        <v>126</v>
      </c>
      <c r="D18" s="5">
        <f>(759*0.557+736*0.433)/(759+736)</f>
        <v>0.49595384615384619</v>
      </c>
      <c r="E18" s="66"/>
      <c r="F18" s="5">
        <f>(759*0.557+736*0.433)/(759+736)</f>
        <v>0.49595384615384619</v>
      </c>
      <c r="H18" s="5">
        <f>(759*0.557+736*0.433)/(759+736)</f>
        <v>0.49595384615384619</v>
      </c>
    </row>
    <row r="19" spans="1:9">
      <c r="A19" s="73" t="s">
        <v>116</v>
      </c>
      <c r="B19" s="5">
        <f>(735*0.637+637*0.502)/(735+637)</f>
        <v>0.57432142857142865</v>
      </c>
      <c r="C19" s="6" t="s">
        <v>126</v>
      </c>
      <c r="D19" s="5">
        <f>(735*0.637+637*0.502)/(735+637)</f>
        <v>0.57432142857142865</v>
      </c>
      <c r="E19" s="66"/>
      <c r="F19" s="5">
        <f>(735*0.637+637*0.502)/(735+637)</f>
        <v>0.57432142857142865</v>
      </c>
      <c r="H19" s="5">
        <f>(735*0.637+637*0.502)/(735+637)</f>
        <v>0.57432142857142865</v>
      </c>
    </row>
    <row r="20" spans="1:9">
      <c r="A20" s="73" t="s">
        <v>117</v>
      </c>
      <c r="B20" s="5">
        <f>(559*0.578+514*0.449)/(559+514)</f>
        <v>0.51620503261882567</v>
      </c>
      <c r="C20" s="6" t="s">
        <v>126</v>
      </c>
      <c r="D20" s="5">
        <f>(559*0.578+514*0.449)/(559+514)</f>
        <v>0.51620503261882567</v>
      </c>
      <c r="E20" s="66"/>
      <c r="F20" s="5">
        <f>(559*0.578+514*0.449)/(559+514)</f>
        <v>0.51620503261882567</v>
      </c>
      <c r="H20" s="5">
        <f>(559*0.578+514*0.449)/(559+514)</f>
        <v>0.51620503261882567</v>
      </c>
    </row>
    <row r="21" spans="1:9">
      <c r="A21" s="73" t="s">
        <v>118</v>
      </c>
      <c r="B21" s="8">
        <f>B15/(1-B18)</f>
        <v>0.13094039007416905</v>
      </c>
      <c r="C21" s="8"/>
      <c r="D21" s="8">
        <f t="shared" ref="D21:H21" si="0">D15/(1-D18)</f>
        <v>0.13094039007416905</v>
      </c>
      <c r="E21" s="8"/>
      <c r="F21" s="8">
        <f t="shared" si="0"/>
        <v>0.20434636632786984</v>
      </c>
      <c r="G21" s="8"/>
      <c r="H21" s="8">
        <f t="shared" si="0"/>
        <v>0</v>
      </c>
    </row>
    <row r="22" spans="1:9">
      <c r="A22" s="73" t="s">
        <v>119</v>
      </c>
      <c r="B22" s="8">
        <f t="shared" ref="B22:H23" si="1">B16/(1-B19)</f>
        <v>0.1433006124674889</v>
      </c>
      <c r="C22" s="8"/>
      <c r="D22" s="8">
        <f t="shared" si="1"/>
        <v>0.1433006124674889</v>
      </c>
      <c r="E22" s="8"/>
      <c r="F22" s="8">
        <f t="shared" si="1"/>
        <v>0.21377632351707362</v>
      </c>
      <c r="G22" s="8"/>
      <c r="H22" s="8">
        <f t="shared" si="1"/>
        <v>0</v>
      </c>
    </row>
    <row r="23" spans="1:9">
      <c r="A23" s="73" t="s">
        <v>120</v>
      </c>
      <c r="B23" s="8">
        <f>B17/(1-B20)</f>
        <v>0.26664188075020417</v>
      </c>
      <c r="C23" s="8"/>
      <c r="D23" s="8">
        <f t="shared" si="1"/>
        <v>0.26664188075020417</v>
      </c>
      <c r="E23" s="8"/>
      <c r="F23" s="8">
        <f t="shared" si="1"/>
        <v>0.33071861178319895</v>
      </c>
      <c r="G23" s="8"/>
      <c r="H23" s="8">
        <f t="shared" si="1"/>
        <v>0.26664188075020417</v>
      </c>
    </row>
    <row r="24" spans="1:9">
      <c r="A24" s="73" t="s">
        <v>121</v>
      </c>
      <c r="B24" s="8">
        <f>(1/B$11)*B21</f>
        <v>0.42790977148421255</v>
      </c>
      <c r="C24" s="6" t="s">
        <v>124</v>
      </c>
      <c r="D24" s="8">
        <f>(1/D$11)*D21</f>
        <v>0.42790977148421255</v>
      </c>
      <c r="E24" s="35"/>
      <c r="F24" s="8">
        <f>(1/F$11)*F21</f>
        <v>0.6677985827708165</v>
      </c>
      <c r="H24" s="8">
        <f>(1/H$11)*H21</f>
        <v>0</v>
      </c>
    </row>
    <row r="25" spans="1:9">
      <c r="A25" s="73" t="s">
        <v>122</v>
      </c>
      <c r="B25" s="8">
        <f>(1/B$11)*B22</f>
        <v>0.46830265512251273</v>
      </c>
      <c r="C25" s="6" t="s">
        <v>124</v>
      </c>
      <c r="D25" s="8">
        <f>(1/D$11)*D22</f>
        <v>0.46830265512251273</v>
      </c>
      <c r="E25" s="35"/>
      <c r="F25" s="8">
        <f>(1/F$11)*F22</f>
        <v>0.69861543633030598</v>
      </c>
      <c r="H25" s="8">
        <f>(1/H$11)*H22</f>
        <v>0</v>
      </c>
    </row>
    <row r="26" spans="1:9">
      <c r="A26" s="73" t="s">
        <v>123</v>
      </c>
      <c r="B26" s="8">
        <f>(1/B$11)*B23</f>
        <v>0.8713786952621051</v>
      </c>
      <c r="C26" s="6" t="s">
        <v>124</v>
      </c>
      <c r="D26" s="8">
        <f>(1/D$11)*D23</f>
        <v>0.8713786952621051</v>
      </c>
      <c r="E26" s="35"/>
      <c r="F26" s="8">
        <f>(1/F$11)*F23</f>
        <v>1.0807797770692775</v>
      </c>
      <c r="H26" s="8">
        <f>(1/H$11)*H23</f>
        <v>0.8713786952621051</v>
      </c>
    </row>
    <row r="27" spans="1:9">
      <c r="A27" s="73"/>
      <c r="B27" s="8"/>
      <c r="D27" s="8"/>
      <c r="E27" s="35"/>
      <c r="F27" s="8"/>
      <c r="H27" s="8"/>
    </row>
    <row r="28" spans="1:9">
      <c r="A28" s="74" t="s">
        <v>42</v>
      </c>
      <c r="B28" s="8"/>
      <c r="D28" s="8"/>
      <c r="E28" s="35"/>
      <c r="F28" s="8"/>
      <c r="H28" s="8"/>
    </row>
    <row r="29" spans="1:9">
      <c r="A29" s="73"/>
    </row>
    <row r="30" spans="1:9">
      <c r="A30" s="72" t="s">
        <v>47</v>
      </c>
      <c r="B30" s="3">
        <v>0.75</v>
      </c>
      <c r="C30" s="2" t="s">
        <v>48</v>
      </c>
      <c r="D30" s="3">
        <v>0.75</v>
      </c>
      <c r="E30" s="43"/>
      <c r="F30" s="3">
        <v>0.8</v>
      </c>
      <c r="H30" s="3">
        <v>0.7</v>
      </c>
    </row>
    <row r="31" spans="1:9">
      <c r="A31" s="72" t="s">
        <v>43</v>
      </c>
      <c r="B31" s="3">
        <v>0.5</v>
      </c>
      <c r="C31" s="2" t="s">
        <v>127</v>
      </c>
      <c r="D31" s="3">
        <v>0.5</v>
      </c>
      <c r="E31" s="43"/>
      <c r="F31" s="3">
        <v>0.5</v>
      </c>
      <c r="G31" s="2" t="s">
        <v>174</v>
      </c>
      <c r="H31" s="3">
        <v>0.5</v>
      </c>
      <c r="I31" s="2" t="s">
        <v>175</v>
      </c>
    </row>
    <row r="32" spans="1:9">
      <c r="A32" s="73" t="s">
        <v>44</v>
      </c>
      <c r="B32" s="26">
        <f>B24*B$30*B$31</f>
        <v>0.1604661643065797</v>
      </c>
      <c r="C32" s="26"/>
      <c r="D32" s="26">
        <f>D24*D$30*D$31</f>
        <v>0.1604661643065797</v>
      </c>
      <c r="E32" s="36"/>
      <c r="F32" s="26">
        <f>F24*F$30*F$31</f>
        <v>0.26711943310832659</v>
      </c>
      <c r="G32" s="26"/>
      <c r="H32" s="26">
        <f>H24*H$30*H$31</f>
        <v>0</v>
      </c>
    </row>
    <row r="33" spans="1:9">
      <c r="A33" s="73" t="s">
        <v>45</v>
      </c>
      <c r="B33" s="26">
        <f>B25*B$30*B$31</f>
        <v>0.17561349567094228</v>
      </c>
      <c r="C33" s="26"/>
      <c r="D33" s="26">
        <f>D25*D$30*D$31</f>
        <v>0.17561349567094228</v>
      </c>
      <c r="E33" s="36"/>
      <c r="F33" s="26">
        <f>F25*F$30*F$31</f>
        <v>0.27944617453212239</v>
      </c>
      <c r="G33" s="26"/>
      <c r="H33" s="26">
        <f>H25*H$30*H$31</f>
        <v>0</v>
      </c>
    </row>
    <row r="34" spans="1:9">
      <c r="A34" s="73" t="s">
        <v>46</v>
      </c>
      <c r="B34" s="26">
        <f>B26*B$30*B$31</f>
        <v>0.3267670107232894</v>
      </c>
      <c r="C34" s="26"/>
      <c r="D34" s="26">
        <f>D26*D$30*D$31</f>
        <v>0.3267670107232894</v>
      </c>
      <c r="E34" s="36"/>
      <c r="F34" s="26">
        <f>F26*F$30*F$31</f>
        <v>0.43231191082771103</v>
      </c>
      <c r="G34" s="26"/>
      <c r="H34" s="26">
        <f>H26*H$30*H$31</f>
        <v>0.30498254334173674</v>
      </c>
    </row>
    <row r="35" spans="1:9">
      <c r="A35" s="73"/>
      <c r="B35" s="8"/>
      <c r="D35" s="8"/>
      <c r="E35" s="35"/>
      <c r="F35" s="8"/>
      <c r="H35" s="8"/>
    </row>
    <row r="36" spans="1:9">
      <c r="A36" s="74" t="s">
        <v>13</v>
      </c>
    </row>
    <row r="37" spans="1:9">
      <c r="A37" s="71"/>
    </row>
    <row r="38" spans="1:9">
      <c r="A38" s="72" t="s">
        <v>7</v>
      </c>
      <c r="B38" s="3">
        <f>((2.45*21/15.25)/67.5)*(0.31/(AVERAGE(0.31,0.51)))</f>
        <v>3.779110577991026E-2</v>
      </c>
      <c r="C38" s="68" t="s">
        <v>168</v>
      </c>
      <c r="D38" s="3">
        <f>(21/67.5)*(0.31/(AVERAGE(0.31,0.51)))</f>
        <v>0.23523035230352302</v>
      </c>
      <c r="E38" t="s">
        <v>141</v>
      </c>
      <c r="F38" s="3">
        <f>((2.45*21/15.25)/67.5)*(0.31/(AVERAGE(0.31,0.51)))</f>
        <v>3.779110577991026E-2</v>
      </c>
      <c r="H38" s="3">
        <f>((2.45*21/15.25)/67.5)*(0.31/(AVERAGE(0.31,0.51)))</f>
        <v>3.779110577991026E-2</v>
      </c>
    </row>
    <row r="39" spans="1:9">
      <c r="A39" s="72" t="s">
        <v>8</v>
      </c>
      <c r="B39" s="3">
        <f>B10</f>
        <v>0.6</v>
      </c>
      <c r="C39" s="2" t="s">
        <v>9</v>
      </c>
      <c r="D39" s="3">
        <f>D10</f>
        <v>0.6</v>
      </c>
      <c r="E39" s="43"/>
      <c r="F39" s="5">
        <v>0.9</v>
      </c>
      <c r="G39" t="s">
        <v>169</v>
      </c>
      <c r="H39" s="3">
        <f>H10</f>
        <v>0.6</v>
      </c>
      <c r="I39" s="78"/>
    </row>
    <row r="40" spans="1:9">
      <c r="A40" s="72" t="s">
        <v>37</v>
      </c>
      <c r="B40" s="4">
        <f>B38*B39</f>
        <v>2.2674663467946155E-2</v>
      </c>
      <c r="D40" s="4">
        <f>D38*D39</f>
        <v>0.1411382113821138</v>
      </c>
      <c r="E40" s="33"/>
      <c r="F40" s="4">
        <f>F38*F39</f>
        <v>3.4011995201919235E-2</v>
      </c>
      <c r="H40" s="4">
        <f>H38*H39</f>
        <v>2.2674663467946155E-2</v>
      </c>
    </row>
    <row r="41" spans="1:9">
      <c r="A41" s="72"/>
      <c r="B41" s="4"/>
      <c r="D41" s="4"/>
      <c r="E41" s="33"/>
      <c r="F41" s="4"/>
      <c r="H41" s="4"/>
    </row>
    <row r="42" spans="1:9">
      <c r="A42" s="75" t="s">
        <v>14</v>
      </c>
    </row>
    <row r="43" spans="1:9">
      <c r="A43" s="21"/>
    </row>
    <row r="44" spans="1:9">
      <c r="A44" s="27" t="s">
        <v>128</v>
      </c>
      <c r="B44" s="3">
        <v>1</v>
      </c>
      <c r="C44" t="s">
        <v>159</v>
      </c>
      <c r="D44" s="3">
        <v>0.33</v>
      </c>
      <c r="E44" t="s">
        <v>16</v>
      </c>
      <c r="F44" s="3">
        <v>1</v>
      </c>
      <c r="H44" s="3">
        <v>1</v>
      </c>
    </row>
    <row r="45" spans="1:9">
      <c r="A45" s="73" t="s">
        <v>10</v>
      </c>
      <c r="B45" s="3">
        <f>B32</f>
        <v>0.1604661643065797</v>
      </c>
      <c r="C45" s="2" t="s">
        <v>9</v>
      </c>
      <c r="D45" s="3">
        <f>D32</f>
        <v>0.1604661643065797</v>
      </c>
      <c r="E45" s="43"/>
      <c r="F45" s="3">
        <f>F32</f>
        <v>0.26711943310832659</v>
      </c>
      <c r="H45" s="3">
        <f>H32</f>
        <v>0</v>
      </c>
    </row>
    <row r="46" spans="1:9">
      <c r="A46" s="73" t="s">
        <v>11</v>
      </c>
      <c r="B46" s="3">
        <f>B33</f>
        <v>0.17561349567094228</v>
      </c>
      <c r="C46" s="2" t="s">
        <v>9</v>
      </c>
      <c r="D46" s="3">
        <f>D33</f>
        <v>0.17561349567094228</v>
      </c>
      <c r="E46" s="43"/>
      <c r="F46" s="3">
        <f>F33</f>
        <v>0.27944617453212239</v>
      </c>
      <c r="H46" s="3">
        <f>H33</f>
        <v>0</v>
      </c>
    </row>
    <row r="47" spans="1:9">
      <c r="A47" s="8" t="s">
        <v>12</v>
      </c>
      <c r="B47" s="3">
        <f>B34</f>
        <v>0.3267670107232894</v>
      </c>
      <c r="C47" s="2" t="s">
        <v>9</v>
      </c>
      <c r="D47" s="3">
        <f>D34</f>
        <v>0.3267670107232894</v>
      </c>
      <c r="E47" s="43"/>
      <c r="F47" s="3">
        <f>F34</f>
        <v>0.43231191082771103</v>
      </c>
      <c r="H47" s="3">
        <f>H34</f>
        <v>0.30498254334173674</v>
      </c>
    </row>
    <row r="48" spans="1:9">
      <c r="A48" s="8" t="s">
        <v>131</v>
      </c>
      <c r="B48" s="25">
        <f>B45*B$40*B44</f>
        <v>3.6385162736438481E-3</v>
      </c>
      <c r="C48" s="25"/>
      <c r="D48" s="25">
        <f>D45*D$40*D44</f>
        <v>7.4738094478010867E-3</v>
      </c>
      <c r="E48" s="37"/>
      <c r="F48" s="25">
        <f t="shared" ref="F48:H48" si="2">F45*F$40*F44</f>
        <v>9.085264877219789E-3</v>
      </c>
      <c r="G48" s="25"/>
      <c r="H48" s="25">
        <f t="shared" si="2"/>
        <v>0</v>
      </c>
    </row>
    <row r="49" spans="1:9">
      <c r="A49" s="8" t="s">
        <v>130</v>
      </c>
      <c r="B49" s="25">
        <f>B46*B$40*B44</f>
        <v>3.981976914768235E-3</v>
      </c>
      <c r="C49" s="25"/>
      <c r="D49" s="25">
        <f>D46*D$40*D44</f>
        <v>8.179305642273935E-3</v>
      </c>
      <c r="E49" s="37"/>
      <c r="F49" s="25">
        <f t="shared" ref="F49:H49" si="3">F46*F$40*F44</f>
        <v>9.5045219473812326E-3</v>
      </c>
      <c r="G49" s="25"/>
      <c r="H49" s="25">
        <f t="shared" si="3"/>
        <v>0</v>
      </c>
    </row>
    <row r="50" spans="1:9">
      <c r="A50" s="8" t="s">
        <v>129</v>
      </c>
      <c r="B50" s="25">
        <f>B47*B$40*B44</f>
        <v>7.4093320005773396E-3</v>
      </c>
      <c r="C50" s="25"/>
      <c r="D50" s="25">
        <f>D47*D$40*D44</f>
        <v>1.5219372772614473E-2</v>
      </c>
      <c r="E50" s="37"/>
      <c r="F50" s="25">
        <f t="shared" ref="F50:H50" si="4">F47*F$40*F44</f>
        <v>1.4703790636804643E-2</v>
      </c>
      <c r="G50" s="25"/>
      <c r="H50" s="25">
        <f t="shared" si="4"/>
        <v>6.9153765338721834E-3</v>
      </c>
    </row>
    <row r="52" spans="1:9">
      <c r="A52" s="20" t="s">
        <v>22</v>
      </c>
    </row>
    <row r="54" spans="1:9">
      <c r="A54" s="8" t="s">
        <v>25</v>
      </c>
      <c r="B54" s="3">
        <v>0.7</v>
      </c>
      <c r="C54" t="s">
        <v>144</v>
      </c>
      <c r="D54" s="3">
        <v>0.7</v>
      </c>
      <c r="F54" s="3">
        <v>0.7</v>
      </c>
      <c r="H54" s="3">
        <v>0.7</v>
      </c>
    </row>
    <row r="55" spans="1:9">
      <c r="A55" s="8" t="s">
        <v>26</v>
      </c>
      <c r="B55" s="3">
        <v>0.84</v>
      </c>
      <c r="C55" t="s">
        <v>151</v>
      </c>
      <c r="D55" s="3">
        <v>0.84</v>
      </c>
      <c r="E55" s="43"/>
      <c r="F55" s="3">
        <v>0.84</v>
      </c>
      <c r="H55" s="3">
        <v>0.84</v>
      </c>
    </row>
    <row r="56" spans="1:9">
      <c r="A56" s="8" t="s">
        <v>27</v>
      </c>
      <c r="B56" s="3">
        <v>0.93</v>
      </c>
      <c r="C56" t="s">
        <v>152</v>
      </c>
      <c r="D56" s="3">
        <v>0.93</v>
      </c>
      <c r="E56" s="43"/>
      <c r="F56" s="3">
        <v>0.93</v>
      </c>
      <c r="H56" s="3">
        <v>0.93</v>
      </c>
    </row>
    <row r="58" spans="1:9">
      <c r="A58" s="20" t="s">
        <v>31</v>
      </c>
    </row>
    <row r="60" spans="1:9">
      <c r="A60" s="76" t="s">
        <v>38</v>
      </c>
    </row>
    <row r="62" spans="1:9" s="25" customFormat="1">
      <c r="A62" s="12" t="s">
        <v>137</v>
      </c>
      <c r="B62" s="5">
        <f>'Regional Data'!$K$31</f>
        <v>0.35327063145105042</v>
      </c>
      <c r="C62" s="69" t="s">
        <v>125</v>
      </c>
      <c r="D62" s="5">
        <v>0.41599999999999998</v>
      </c>
      <c r="E62" s="67" t="s">
        <v>153</v>
      </c>
      <c r="F62" s="5">
        <f>'Regional Data'!$K$31</f>
        <v>0.35327063145105042</v>
      </c>
      <c r="H62" s="5">
        <f>'Regional Data'!$K$31</f>
        <v>0.35327063145105042</v>
      </c>
    </row>
    <row r="63" spans="1:9">
      <c r="A63" s="8" t="s">
        <v>19</v>
      </c>
      <c r="B63" s="3">
        <v>0.8</v>
      </c>
      <c r="C63" s="9" t="s">
        <v>163</v>
      </c>
      <c r="D63" s="3">
        <v>0.85</v>
      </c>
      <c r="E63" s="43"/>
      <c r="F63" s="3">
        <v>1</v>
      </c>
      <c r="H63" s="5">
        <v>0.5</v>
      </c>
      <c r="I63" s="77"/>
    </row>
    <row r="64" spans="1:9" s="25" customFormat="1">
      <c r="A64" s="12" t="s">
        <v>162</v>
      </c>
      <c r="B64" s="25">
        <f>B62+(1-B62)*B63*B48</f>
        <v>0.35515313971673745</v>
      </c>
      <c r="D64" s="25">
        <f>D62+(1-D62)*D63*D48</f>
        <v>0.41970999900988842</v>
      </c>
      <c r="F64" s="25">
        <f>F62+(1-F62)*F63*F48</f>
        <v>0.35914633906819471</v>
      </c>
      <c r="H64" s="25">
        <f>H62+(1-H62)*H63*H48</f>
        <v>0.35327063145105042</v>
      </c>
    </row>
    <row r="66" spans="1:9">
      <c r="A66" s="8" t="s">
        <v>15</v>
      </c>
      <c r="B66" s="3">
        <v>0.9</v>
      </c>
      <c r="C66" s="9" t="s">
        <v>16</v>
      </c>
      <c r="D66" s="3">
        <v>0.9</v>
      </c>
      <c r="E66" s="43"/>
      <c r="F66" s="3">
        <v>1</v>
      </c>
      <c r="H66" s="5">
        <v>0.9</v>
      </c>
      <c r="I66" s="77"/>
    </row>
    <row r="67" spans="1:9">
      <c r="A67" s="8" t="s">
        <v>17</v>
      </c>
      <c r="B67" s="3">
        <v>0.95</v>
      </c>
      <c r="C67" s="9" t="s">
        <v>16</v>
      </c>
      <c r="D67" s="3">
        <v>0.95</v>
      </c>
      <c r="E67" s="43"/>
      <c r="F67" s="3">
        <v>1</v>
      </c>
      <c r="H67" s="5">
        <v>0.9</v>
      </c>
      <c r="I67" s="77"/>
    </row>
    <row r="68" spans="1:9">
      <c r="A68" s="8" t="s">
        <v>18</v>
      </c>
      <c r="B68" s="3">
        <v>0.99</v>
      </c>
      <c r="C68" s="9" t="s">
        <v>16</v>
      </c>
      <c r="D68" s="3">
        <v>0.99</v>
      </c>
      <c r="E68" s="43"/>
      <c r="F68" s="3">
        <v>1</v>
      </c>
      <c r="H68" s="5">
        <v>0.9</v>
      </c>
      <c r="I68" s="77"/>
    </row>
    <row r="69" spans="1:9" s="25" customFormat="1">
      <c r="A69" s="12" t="s">
        <v>20</v>
      </c>
      <c r="B69" s="25">
        <f>B62*B66*B67*B68</f>
        <v>0.2990259259917416</v>
      </c>
      <c r="D69" s="25">
        <f>D62*D66*D67*D68</f>
        <v>0.35212319999999997</v>
      </c>
      <c r="E69" s="37"/>
      <c r="F69" s="25">
        <f>F62*F66*F67*F68</f>
        <v>0.35327063145105042</v>
      </c>
      <c r="H69" s="25">
        <f>H62*H66*H67*H68</f>
        <v>0.25753429032781583</v>
      </c>
    </row>
    <row r="70" spans="1:9" s="25" customFormat="1">
      <c r="A70" s="12" t="s">
        <v>21</v>
      </c>
      <c r="B70" s="25">
        <f>B64*B66*B67*B68</f>
        <v>0.30061937511323245</v>
      </c>
      <c r="D70" s="25">
        <f>D64*D66*D67*D68</f>
        <v>0.35526352866192001</v>
      </c>
      <c r="E70" s="37"/>
      <c r="F70" s="25">
        <f>F64*F66*F67*F68</f>
        <v>0.35914633906819471</v>
      </c>
      <c r="H70" s="25">
        <f>H64*H66*H67*H68</f>
        <v>0.25753429032781583</v>
      </c>
    </row>
    <row r="72" spans="1:9">
      <c r="A72" s="8" t="s">
        <v>147</v>
      </c>
      <c r="B72" s="3">
        <v>1</v>
      </c>
      <c r="C72" t="s">
        <v>135</v>
      </c>
      <c r="D72" s="3">
        <v>1</v>
      </c>
      <c r="E72" s="43"/>
      <c r="F72" s="3">
        <v>1</v>
      </c>
      <c r="H72" s="3">
        <v>1</v>
      </c>
    </row>
    <row r="73" spans="1:9" s="25" customFormat="1">
      <c r="A73" s="12" t="s">
        <v>30</v>
      </c>
      <c r="B73" s="12">
        <f>B72*(B54*(B70-B69))/(B69*(1-B54)+(1-B69))</f>
        <v>1.4106993634622768E-3</v>
      </c>
      <c r="D73" s="12">
        <f>D72*(D54*(D70-D69))/(D69*(1-D54)+(1-D69))</f>
        <v>2.9173058012159337E-3</v>
      </c>
      <c r="E73" s="39"/>
      <c r="F73" s="12">
        <f>F72*(F54*(F70-F69))/(F69*(1-F54)+(1-F69))</f>
        <v>5.4642455700574643E-3</v>
      </c>
      <c r="H73" s="12">
        <f>H72*(H54*(H70-H69))/(H69*(1-H54)+(1-H69))</f>
        <v>0</v>
      </c>
    </row>
    <row r="75" spans="1:9">
      <c r="A75" s="76" t="s">
        <v>23</v>
      </c>
    </row>
    <row r="77" spans="1:9" s="25" customFormat="1">
      <c r="A77" s="12" t="s">
        <v>137</v>
      </c>
      <c r="B77" s="5">
        <v>0.39900000000000002</v>
      </c>
      <c r="C77" s="67" t="s">
        <v>154</v>
      </c>
      <c r="D77" s="5">
        <v>0.39900000000000002</v>
      </c>
      <c r="E77" s="44"/>
      <c r="F77" s="5">
        <v>0.39900000000000002</v>
      </c>
      <c r="H77" s="5">
        <v>0.39900000000000002</v>
      </c>
    </row>
    <row r="78" spans="1:9">
      <c r="A78" s="8" t="s">
        <v>19</v>
      </c>
      <c r="B78" s="3">
        <v>0.97</v>
      </c>
      <c r="C78" s="9" t="s">
        <v>166</v>
      </c>
      <c r="D78" s="3">
        <v>0.97</v>
      </c>
      <c r="E78" s="43"/>
      <c r="F78" s="3">
        <v>1</v>
      </c>
      <c r="H78" s="5">
        <v>0.5</v>
      </c>
      <c r="I78" s="77"/>
    </row>
    <row r="79" spans="1:9" s="25" customFormat="1">
      <c r="A79" s="12" t="s">
        <v>162</v>
      </c>
      <c r="B79" s="25">
        <f>B77+(1-B77)*B78*B49</f>
        <v>0.40132137308200244</v>
      </c>
      <c r="D79" s="25">
        <f>D77+(1-D77)*D78*D49</f>
        <v>0.40376828981027646</v>
      </c>
      <c r="F79" s="25">
        <f>F77+(1-F77)*F78*F49</f>
        <v>0.40471221769037613</v>
      </c>
      <c r="H79" s="25">
        <f>H77+(1-H77)*H78*H49</f>
        <v>0.39900000000000002</v>
      </c>
    </row>
    <row r="81" spans="1:9">
      <c r="A81" s="8" t="s">
        <v>15</v>
      </c>
      <c r="B81" s="3">
        <v>0.9</v>
      </c>
      <c r="C81" s="9" t="s">
        <v>150</v>
      </c>
      <c r="D81" s="3">
        <v>0.9</v>
      </c>
      <c r="E81" s="43"/>
      <c r="F81" s="3">
        <v>1</v>
      </c>
      <c r="H81" s="5">
        <v>0.65</v>
      </c>
      <c r="I81" s="77"/>
    </row>
    <row r="82" spans="1:9">
      <c r="A82" s="8" t="s">
        <v>17</v>
      </c>
      <c r="B82" s="3">
        <v>0.95</v>
      </c>
      <c r="C82" s="67" t="s">
        <v>16</v>
      </c>
      <c r="D82" s="3">
        <v>0.95</v>
      </c>
      <c r="E82" s="43"/>
      <c r="F82" s="3">
        <v>1</v>
      </c>
      <c r="H82" s="5">
        <v>0.9</v>
      </c>
      <c r="I82" s="77"/>
    </row>
    <row r="83" spans="1:9">
      <c r="A83" s="8" t="s">
        <v>18</v>
      </c>
      <c r="B83" s="3">
        <v>0.99</v>
      </c>
      <c r="C83" s="9" t="s">
        <v>16</v>
      </c>
      <c r="D83" s="3">
        <v>0.99</v>
      </c>
      <c r="E83" s="43"/>
      <c r="F83" s="3">
        <v>1</v>
      </c>
      <c r="H83" s="5">
        <v>0.9</v>
      </c>
      <c r="I83" s="77"/>
    </row>
    <row r="84" spans="1:9" s="25" customFormat="1">
      <c r="A84" s="12" t="s">
        <v>20</v>
      </c>
      <c r="B84" s="25">
        <f>B77*B81*B82*B83</f>
        <v>0.33773355000000005</v>
      </c>
      <c r="D84" s="25">
        <f>D77*D81*D82*D83</f>
        <v>0.33773355000000005</v>
      </c>
      <c r="E84" s="37"/>
      <c r="F84" s="25">
        <f>F77*F81*F82*F83</f>
        <v>0.39900000000000002</v>
      </c>
      <c r="H84" s="25">
        <f>H77*H81*H82*H83</f>
        <v>0.21007350000000005</v>
      </c>
    </row>
    <row r="85" spans="1:9" s="25" customFormat="1">
      <c r="A85" s="12" t="s">
        <v>21</v>
      </c>
      <c r="B85" s="25">
        <f>B79*B81*B82*B83</f>
        <v>0.33969847624526095</v>
      </c>
      <c r="D85" s="25">
        <f>D79*D81*D82*D83</f>
        <v>0.34176966890990851</v>
      </c>
      <c r="E85" s="37"/>
      <c r="F85" s="25">
        <f>F79*F81*F82*F83</f>
        <v>0.40471221769037613</v>
      </c>
      <c r="H85" s="25">
        <f>H79*H81*H82*H83</f>
        <v>0.21007350000000005</v>
      </c>
    </row>
    <row r="87" spans="1:9">
      <c r="A87" s="8" t="s">
        <v>148</v>
      </c>
      <c r="B87" s="3">
        <v>1</v>
      </c>
      <c r="C87" t="s">
        <v>135</v>
      </c>
      <c r="D87" s="3">
        <v>1</v>
      </c>
      <c r="E87" s="43"/>
      <c r="F87" s="3">
        <v>1</v>
      </c>
      <c r="H87" s="3">
        <v>1</v>
      </c>
    </row>
    <row r="88" spans="1:9" s="25" customFormat="1">
      <c r="A88" s="12" t="s">
        <v>30</v>
      </c>
      <c r="B88" s="12">
        <f>B87*(B55*(B85-B84))/(B84*(1-B55)+(1-B84))</f>
        <v>2.3042429825763633E-3</v>
      </c>
      <c r="D88" s="12">
        <f>D87*(D55*(D85-D84))/(D84*(1-D55)+(1-D84))</f>
        <v>4.7331031876799321E-3</v>
      </c>
      <c r="E88" s="39"/>
      <c r="F88" s="12">
        <f>F87*(F55*(F85-F84))/(F84*(1-F55)+(1-F84))</f>
        <v>7.2171693338486421E-3</v>
      </c>
      <c r="H88" s="12">
        <f>H87*(H55*(H85-H84))/(H84*(1-H55)+(1-H84))</f>
        <v>0</v>
      </c>
    </row>
    <row r="90" spans="1:9">
      <c r="A90" s="76" t="s">
        <v>24</v>
      </c>
    </row>
    <row r="92" spans="1:9" s="25" customFormat="1">
      <c r="A92" s="12" t="s">
        <v>137</v>
      </c>
      <c r="B92" s="5">
        <v>0.39100000000000001</v>
      </c>
      <c r="C92" s="67" t="s">
        <v>155</v>
      </c>
      <c r="D92" s="5">
        <v>0.39100000000000001</v>
      </c>
      <c r="E92" s="44"/>
      <c r="F92" s="5">
        <v>0.39100000000000001</v>
      </c>
      <c r="H92" s="5">
        <v>0.39100000000000001</v>
      </c>
    </row>
    <row r="93" spans="1:9">
      <c r="A93" s="8" t="s">
        <v>19</v>
      </c>
      <c r="B93" s="3">
        <v>0.8</v>
      </c>
      <c r="C93" s="9" t="s">
        <v>167</v>
      </c>
      <c r="D93" s="3">
        <v>0.85</v>
      </c>
      <c r="E93" s="43"/>
      <c r="F93" s="3">
        <v>1</v>
      </c>
      <c r="H93" s="5">
        <v>0.5</v>
      </c>
      <c r="I93" s="77"/>
    </row>
    <row r="94" spans="1:9" s="25" customFormat="1">
      <c r="A94" s="12" t="s">
        <v>162</v>
      </c>
      <c r="B94" s="25">
        <f>B92+(1-B92)*B93*B50</f>
        <v>0.39460982655068128</v>
      </c>
      <c r="D94" s="25">
        <f>D92+(1-D92)*D93*D50</f>
        <v>0.39887830831574389</v>
      </c>
      <c r="F94" s="25">
        <f>F92+(1-F92)*F93*F50</f>
        <v>0.39995460849781406</v>
      </c>
      <c r="H94" s="25">
        <f>H92+(1-H92)*H93*H50</f>
        <v>0.39310573215456407</v>
      </c>
    </row>
    <row r="96" spans="1:9">
      <c r="A96" s="8" t="s">
        <v>15</v>
      </c>
      <c r="B96" s="3">
        <v>0.9</v>
      </c>
      <c r="C96" s="9" t="s">
        <v>16</v>
      </c>
      <c r="D96" s="3">
        <v>0.9</v>
      </c>
      <c r="E96" s="43"/>
      <c r="F96" s="3">
        <v>1</v>
      </c>
      <c r="H96" s="5">
        <v>0.9</v>
      </c>
      <c r="I96" s="77"/>
    </row>
    <row r="97" spans="1:9">
      <c r="A97" s="8" t="s">
        <v>17</v>
      </c>
      <c r="B97" s="3">
        <v>0.95</v>
      </c>
      <c r="C97" s="9" t="s">
        <v>16</v>
      </c>
      <c r="D97" s="3">
        <v>0.95</v>
      </c>
      <c r="E97" s="43"/>
      <c r="F97" s="3">
        <v>1</v>
      </c>
      <c r="H97" s="5">
        <v>0.9</v>
      </c>
      <c r="I97" s="77"/>
    </row>
    <row r="98" spans="1:9">
      <c r="A98" s="8" t="s">
        <v>18</v>
      </c>
      <c r="B98" s="3">
        <v>0.99</v>
      </c>
      <c r="C98" s="9" t="s">
        <v>16</v>
      </c>
      <c r="D98" s="3">
        <v>0.99</v>
      </c>
      <c r="E98" s="43"/>
      <c r="F98" s="3">
        <v>1</v>
      </c>
      <c r="H98" s="5">
        <v>0.9</v>
      </c>
      <c r="I98" s="77"/>
    </row>
    <row r="99" spans="1:9" s="25" customFormat="1">
      <c r="A99" s="12" t="s">
        <v>20</v>
      </c>
      <c r="B99" s="25">
        <f>B92*B96*B97*B98</f>
        <v>0.33096195</v>
      </c>
      <c r="D99" s="25">
        <f>D92*D96*D97*D98</f>
        <v>0.33096195</v>
      </c>
      <c r="E99" s="37"/>
      <c r="F99" s="25">
        <f>F92*F96*F97*F98</f>
        <v>0.39100000000000001</v>
      </c>
      <c r="H99" s="25">
        <f>H92*H96*H97*H98</f>
        <v>0.28503900000000004</v>
      </c>
    </row>
    <row r="100" spans="1:9" s="25" customFormat="1">
      <c r="A100" s="12" t="s">
        <v>21</v>
      </c>
      <c r="B100" s="25">
        <f>B94*B96*B97*B98</f>
        <v>0.33401748768382417</v>
      </c>
      <c r="D100" s="25">
        <f>D94*D96*D97*D98</f>
        <v>0.33763054407386139</v>
      </c>
      <c r="E100" s="37"/>
      <c r="F100" s="25">
        <f>F94*F96*F97*F98</f>
        <v>0.39995460849781406</v>
      </c>
      <c r="H100" s="25">
        <f>H94*H96*H97*H98</f>
        <v>0.28657407874067725</v>
      </c>
    </row>
    <row r="102" spans="1:9">
      <c r="A102" s="8" t="s">
        <v>149</v>
      </c>
      <c r="B102" s="3">
        <v>0.9</v>
      </c>
      <c r="C102" t="s">
        <v>135</v>
      </c>
      <c r="D102" s="3">
        <v>0.9</v>
      </c>
      <c r="E102" s="43"/>
      <c r="F102" s="3">
        <v>0.9</v>
      </c>
      <c r="H102" s="3">
        <v>0.9</v>
      </c>
    </row>
    <row r="103" spans="1:9" s="25" customFormat="1">
      <c r="A103" s="12" t="s">
        <v>30</v>
      </c>
      <c r="B103" s="12">
        <f>B102*(B56*(B100-B99))/(B99*(1-B56)+(1-B99))</f>
        <v>3.6946910429175384E-3</v>
      </c>
      <c r="D103" s="12">
        <f>D102*(D56*(D100-D99))/(D99*(1-D56)+(1-D99))</f>
        <v>8.0635218226837412E-3</v>
      </c>
      <c r="E103" s="39"/>
      <c r="F103" s="12">
        <f>F102*(F56*(F100-F99))/(F99*(1-F56)+(1-F99))</f>
        <v>1.1777750856687703E-2</v>
      </c>
      <c r="H103" s="12">
        <f>H102*(H56*(H100-H99))/(H99*(1-H56)+(1-H99))</f>
        <v>1.7483152831378242E-3</v>
      </c>
    </row>
    <row r="105" spans="1:9">
      <c r="A105" s="20" t="s">
        <v>34</v>
      </c>
    </row>
    <row r="107" spans="1:9">
      <c r="A107" s="8" t="s">
        <v>138</v>
      </c>
      <c r="B107" s="10">
        <f>21399.5+14508.5</f>
        <v>35908</v>
      </c>
      <c r="C107" t="s">
        <v>158</v>
      </c>
      <c r="D107" s="10">
        <f>21399.5+14508.5</f>
        <v>35908</v>
      </c>
      <c r="E107" s="45"/>
      <c r="F107" s="10">
        <f>21399.5+14508.5</f>
        <v>35908</v>
      </c>
      <c r="H107" s="10">
        <f>21399.5+14508.5</f>
        <v>35908</v>
      </c>
    </row>
    <row r="108" spans="1:9">
      <c r="A108" s="8" t="s">
        <v>139</v>
      </c>
      <c r="B108" s="10">
        <f>73667*'Regional Data'!$R$21</f>
        <v>76632.962471606836</v>
      </c>
      <c r="C108" t="s">
        <v>160</v>
      </c>
      <c r="D108" s="10">
        <v>73667</v>
      </c>
      <c r="E108" t="s">
        <v>156</v>
      </c>
      <c r="F108" s="10">
        <f>73667*'Regional Data'!$R$21</f>
        <v>76632.962471606836</v>
      </c>
      <c r="H108" s="10">
        <f>73667*'Regional Data'!$R$21</f>
        <v>76632.962471606836</v>
      </c>
    </row>
    <row r="109" spans="1:9">
      <c r="A109" s="8" t="s">
        <v>140</v>
      </c>
      <c r="B109" s="10">
        <f>48569*'Regional Data'!$R$21</f>
        <v>50524.473024332096</v>
      </c>
      <c r="C109" t="s">
        <v>161</v>
      </c>
      <c r="D109" s="10">
        <v>48569</v>
      </c>
      <c r="E109" t="s">
        <v>157</v>
      </c>
      <c r="F109" s="10">
        <f>48569*'Regional Data'!$R$21</f>
        <v>50524.473024332096</v>
      </c>
      <c r="H109" s="10">
        <f>48569*'Regional Data'!$R$21</f>
        <v>50524.473024332096</v>
      </c>
    </row>
    <row r="111" spans="1:9">
      <c r="A111" s="8" t="s">
        <v>29</v>
      </c>
      <c r="B111" s="11">
        <f>B107*B73</f>
        <v>50.655392743203436</v>
      </c>
      <c r="D111" s="11">
        <f>D107*D73</f>
        <v>104.75461671006175</v>
      </c>
      <c r="E111" s="38"/>
      <c r="F111" s="11">
        <f>F107*F73</f>
        <v>196.21012992962343</v>
      </c>
      <c r="H111" s="11">
        <f>H107*H73</f>
        <v>0</v>
      </c>
    </row>
    <row r="112" spans="1:9">
      <c r="A112" s="8" t="s">
        <v>32</v>
      </c>
      <c r="B112" s="11">
        <f>B108*B88</f>
        <v>176.58096600923787</v>
      </c>
      <c r="D112" s="11">
        <f>D108*D88</f>
        <v>348.67351252681755</v>
      </c>
      <c r="E112" s="38"/>
      <c r="F112" s="11">
        <f>F108*F88</f>
        <v>553.0730667120547</v>
      </c>
      <c r="H112" s="11">
        <f>H108*H88</f>
        <v>0</v>
      </c>
    </row>
    <row r="113" spans="1:8">
      <c r="A113" s="8" t="s">
        <v>33</v>
      </c>
      <c r="B113" s="11">
        <f>B109*B103</f>
        <v>186.67231793112859</v>
      </c>
      <c r="D113" s="11">
        <f>D109*D103</f>
        <v>391.63719140592661</v>
      </c>
      <c r="E113" s="38"/>
      <c r="F113" s="11">
        <f>F109*F103</f>
        <v>595.06465544602213</v>
      </c>
      <c r="H113" s="11">
        <f>H109*H103</f>
        <v>88.332708360924528</v>
      </c>
    </row>
    <row r="115" spans="1:8">
      <c r="A115" s="8" t="s">
        <v>40</v>
      </c>
      <c r="B115" s="19">
        <v>960000</v>
      </c>
      <c r="C115" t="s">
        <v>170</v>
      </c>
      <c r="D115" s="19">
        <v>2000000</v>
      </c>
      <c r="E115" t="s">
        <v>136</v>
      </c>
      <c r="F115" s="19">
        <v>960000</v>
      </c>
      <c r="H115" s="19">
        <v>960000</v>
      </c>
    </row>
    <row r="116" spans="1:8">
      <c r="A116" s="8" t="s">
        <v>41</v>
      </c>
      <c r="B116" s="19">
        <v>200000</v>
      </c>
      <c r="C116" t="s">
        <v>181</v>
      </c>
      <c r="D116" s="19">
        <v>200000</v>
      </c>
      <c r="E116" s="46"/>
      <c r="F116" s="19">
        <v>200000</v>
      </c>
      <c r="H116" s="19">
        <v>200000</v>
      </c>
    </row>
    <row r="118" spans="1:8">
      <c r="A118" s="8" t="s">
        <v>132</v>
      </c>
      <c r="B118" s="14">
        <f>(B115+B116)/(B111+B112+B113)</f>
        <v>2802.5505753937396</v>
      </c>
      <c r="D118" s="14">
        <f>(D115+D116)/(D111+D112+D113)</f>
        <v>2603.3490503746525</v>
      </c>
      <c r="E118" s="47"/>
      <c r="F118" s="14">
        <f t="shared" ref="F118:H118" si="5">(F115+F116)/(F111+F112+F113)</f>
        <v>862.8719108663596</v>
      </c>
      <c r="H118" s="14">
        <f t="shared" si="5"/>
        <v>13132.168383881974</v>
      </c>
    </row>
    <row r="120" spans="1:8">
      <c r="A120" s="8" t="s">
        <v>39</v>
      </c>
      <c r="B120">
        <v>5</v>
      </c>
      <c r="D120">
        <v>5</v>
      </c>
      <c r="F120">
        <v>10</v>
      </c>
      <c r="H120">
        <v>5</v>
      </c>
    </row>
    <row r="121" spans="1:8">
      <c r="A121" s="8" t="s">
        <v>145</v>
      </c>
      <c r="B121" s="13">
        <f>B120-((20/12)/2)</f>
        <v>4.166666666666667</v>
      </c>
      <c r="C121" t="s">
        <v>146</v>
      </c>
      <c r="D121" s="13">
        <f>D120-((20/12)/2)</f>
        <v>4.166666666666667</v>
      </c>
      <c r="F121" s="13">
        <f>F120-0.5</f>
        <v>9.5</v>
      </c>
      <c r="G121" t="s">
        <v>180</v>
      </c>
      <c r="H121" s="13">
        <f>H120-((20/12)/2)</f>
        <v>4.166666666666667</v>
      </c>
    </row>
    <row r="123" spans="1:8">
      <c r="A123" s="8" t="s">
        <v>35</v>
      </c>
      <c r="B123" s="14">
        <f>B118*(B120/B121)</f>
        <v>3363.0606904724873</v>
      </c>
      <c r="C123" s="15"/>
      <c r="D123" s="14">
        <f>D118*(D120/D121)</f>
        <v>3124.0188604495829</v>
      </c>
      <c r="E123" s="47"/>
      <c r="F123" s="14">
        <f>F118*(F120/F121)</f>
        <v>908.286221964589</v>
      </c>
      <c r="H123" s="14">
        <f>H118*(H120/H121)</f>
        <v>15758.602060658368</v>
      </c>
    </row>
    <row r="125" spans="1:8">
      <c r="A125" s="8" t="s">
        <v>171</v>
      </c>
      <c r="B125" s="13">
        <f>3400/B123</f>
        <v>1.0109838367271102</v>
      </c>
      <c r="C125" t="s">
        <v>133</v>
      </c>
      <c r="D125" s="13">
        <f>3400/D123</f>
        <v>1.0883417008278562</v>
      </c>
      <c r="E125" s="40"/>
      <c r="F125" s="13">
        <f>3400/F123</f>
        <v>3.7433134157269583</v>
      </c>
      <c r="H125" s="13">
        <f>3400/H123</f>
        <v>0.21575517846777545</v>
      </c>
    </row>
    <row r="126" spans="1:8">
      <c r="B126" s="8"/>
      <c r="D126" s="8"/>
      <c r="E126" s="35"/>
      <c r="F126" s="8"/>
      <c r="H126" s="8"/>
    </row>
    <row r="127" spans="1:8">
      <c r="B127" s="8"/>
      <c r="D127" s="8"/>
      <c r="E127" s="35"/>
      <c r="F127" s="8"/>
      <c r="H127" s="8"/>
    </row>
    <row r="128" spans="1:8">
      <c r="B128" s="22"/>
      <c r="D128" s="22"/>
      <c r="E128" s="41"/>
      <c r="F128" s="22"/>
      <c r="H128" s="22"/>
    </row>
    <row r="130" spans="2:8">
      <c r="B130" s="18"/>
      <c r="D130" s="18"/>
      <c r="E130" s="42"/>
      <c r="F130" s="18"/>
      <c r="H130" s="23"/>
    </row>
  </sheetData>
  <customSheetViews>
    <customSheetView guid="{D4AA915B-EC3C-7A4D-B706-7A05279073E5}" scale="150">
      <pane ySplit="3.0434782608695654" topLeftCell="A17" activePane="bottomLeft" state="frozenSplit"/>
      <selection pane="bottomLeft"/>
      <pageSetup orientation="portrait" horizontalDpi="4294967292" verticalDpi="4294967292"/>
    </customSheetView>
    <customSheetView guid="{F02A15F0-0C5A-447E-AD2D-3C398581DCFC}" scale="85">
      <pane ySplit="3" topLeftCell="A4" activePane="bottomLeft" state="frozenSplit"/>
      <selection pane="bottomLeft"/>
      <pageSetup orientation="portrait" horizontalDpi="4294967292" verticalDpi="4294967292"/>
    </customSheetView>
    <customSheetView guid="{F81E8A90-0AD6-6D45-AE39-FE52C9F45C09}" scale="150">
      <pane ySplit="3.0434782608695654" topLeftCell="A9" activePane="bottomLeft" state="frozenSplit"/>
      <selection pane="bottomLeft" activeCell="I35" sqref="I35"/>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workbookViewId="0">
      <selection activeCell="H34" sqref="H34"/>
    </sheetView>
  </sheetViews>
  <sheetFormatPr baseColWidth="10" defaultColWidth="10.6640625" defaultRowHeight="15" x14ac:dyDescent="0"/>
  <sheetData>
    <row r="1" spans="1:15">
      <c r="A1" t="s">
        <v>105</v>
      </c>
    </row>
    <row r="2" spans="1:15">
      <c r="B2" t="s">
        <v>106</v>
      </c>
      <c r="M2" t="s">
        <v>107</v>
      </c>
    </row>
    <row r="3" spans="1:15">
      <c r="B3" s="48" t="s">
        <v>49</v>
      </c>
      <c r="C3" s="48" t="s">
        <v>50</v>
      </c>
      <c r="D3" s="48" t="s">
        <v>51</v>
      </c>
      <c r="E3" s="48" t="s">
        <v>52</v>
      </c>
      <c r="F3" s="48" t="s">
        <v>53</v>
      </c>
      <c r="G3" s="48" t="s">
        <v>54</v>
      </c>
      <c r="H3" s="48" t="s">
        <v>57</v>
      </c>
      <c r="I3" s="48" t="s">
        <v>58</v>
      </c>
      <c r="J3" s="48" t="s">
        <v>59</v>
      </c>
      <c r="M3" s="48" t="s">
        <v>55</v>
      </c>
      <c r="N3" s="48" t="s">
        <v>56</v>
      </c>
      <c r="O3" s="48" t="s">
        <v>60</v>
      </c>
    </row>
    <row r="4" spans="1:15">
      <c r="B4" s="49" t="s">
        <v>61</v>
      </c>
      <c r="C4" s="49"/>
      <c r="D4" s="49"/>
      <c r="E4" s="49"/>
      <c r="F4" s="49"/>
      <c r="G4" s="49"/>
      <c r="H4" s="49"/>
      <c r="I4" s="49"/>
      <c r="J4" s="49"/>
      <c r="M4" s="49"/>
      <c r="N4" s="49"/>
      <c r="O4" s="49"/>
    </row>
    <row r="5" spans="1:15">
      <c r="B5" s="50" t="s">
        <v>62</v>
      </c>
      <c r="C5" s="51">
        <v>8062463</v>
      </c>
      <c r="D5" s="51">
        <v>4522942</v>
      </c>
      <c r="E5" s="51">
        <v>7501902</v>
      </c>
      <c r="F5" s="51">
        <v>5366068</v>
      </c>
      <c r="G5" s="51">
        <v>6556917</v>
      </c>
      <c r="H5" s="51">
        <v>2049300</v>
      </c>
      <c r="I5" s="51">
        <v>5767945</v>
      </c>
      <c r="J5" s="51">
        <v>8197975</v>
      </c>
      <c r="M5" s="51">
        <v>5608683</v>
      </c>
      <c r="N5" s="51">
        <v>9463749</v>
      </c>
      <c r="O5" s="51">
        <v>4614768</v>
      </c>
    </row>
    <row r="6" spans="1:15">
      <c r="B6" s="52" t="s">
        <v>63</v>
      </c>
      <c r="C6" s="51">
        <v>296000</v>
      </c>
      <c r="D6" s="51">
        <v>54000</v>
      </c>
      <c r="E6" s="51">
        <v>403000</v>
      </c>
      <c r="F6" s="51">
        <v>155000</v>
      </c>
      <c r="G6" s="51">
        <v>173000</v>
      </c>
      <c r="H6" s="51">
        <v>132500</v>
      </c>
      <c r="I6" s="51">
        <v>59500</v>
      </c>
      <c r="J6" s="51">
        <v>503000</v>
      </c>
      <c r="M6" s="51">
        <v>497000</v>
      </c>
      <c r="N6" s="51">
        <v>10000</v>
      </c>
      <c r="O6" s="51">
        <v>65000</v>
      </c>
    </row>
    <row r="7" spans="1:15">
      <c r="B7" s="52" t="s">
        <v>64</v>
      </c>
      <c r="C7" s="51">
        <f>C5/C6</f>
        <v>27.238050675675677</v>
      </c>
      <c r="D7" s="51">
        <f t="shared" ref="D7:J7" si="0">D5/D6</f>
        <v>83.758185185185184</v>
      </c>
      <c r="E7" s="51">
        <f t="shared" si="0"/>
        <v>18.615141439205956</v>
      </c>
      <c r="F7" s="51">
        <f t="shared" si="0"/>
        <v>34.619793548387094</v>
      </c>
      <c r="G7" s="51">
        <f t="shared" si="0"/>
        <v>37.901254335260113</v>
      </c>
      <c r="H7" s="51">
        <f t="shared" si="0"/>
        <v>15.466415094339622</v>
      </c>
      <c r="I7" s="51">
        <f t="shared" si="0"/>
        <v>96.94025210084034</v>
      </c>
      <c r="J7" s="51">
        <f t="shared" si="0"/>
        <v>16.298161033797218</v>
      </c>
      <c r="M7" s="51">
        <f>M5/M6</f>
        <v>11.285076458752515</v>
      </c>
      <c r="N7" s="51">
        <f>N5/N6</f>
        <v>946.37490000000003</v>
      </c>
      <c r="O7" s="51">
        <f>O5/O6</f>
        <v>70.99643076923077</v>
      </c>
    </row>
    <row r="8" spans="1:15">
      <c r="B8" s="52" t="s">
        <v>65</v>
      </c>
      <c r="C8" s="53" t="s">
        <v>50</v>
      </c>
      <c r="D8" s="53" t="s">
        <v>66</v>
      </c>
      <c r="E8" s="54" t="s">
        <v>67</v>
      </c>
      <c r="F8" s="54" t="s">
        <v>68</v>
      </c>
      <c r="G8" s="54" t="s">
        <v>69</v>
      </c>
      <c r="H8" s="54" t="s">
        <v>71</v>
      </c>
      <c r="I8" s="54" t="s">
        <v>72</v>
      </c>
      <c r="J8" s="54" t="s">
        <v>73</v>
      </c>
      <c r="M8" s="53" t="s">
        <v>70</v>
      </c>
      <c r="N8" s="53" t="s">
        <v>56</v>
      </c>
      <c r="O8" s="54" t="s">
        <v>74</v>
      </c>
    </row>
    <row r="9" spans="1:15">
      <c r="B9" s="52" t="s">
        <v>62</v>
      </c>
      <c r="C9" s="51">
        <v>133080</v>
      </c>
      <c r="D9" s="51">
        <v>291338</v>
      </c>
      <c r="E9" s="51">
        <v>100000</v>
      </c>
      <c r="F9" s="51">
        <v>967007</v>
      </c>
      <c r="G9" s="51">
        <v>1488000</v>
      </c>
      <c r="H9" s="51">
        <v>200000</v>
      </c>
      <c r="I9" s="51">
        <v>1000000</v>
      </c>
      <c r="J9" s="51">
        <v>812000</v>
      </c>
      <c r="M9" s="51">
        <v>1543000</v>
      </c>
      <c r="N9" s="51">
        <v>8401000</v>
      </c>
      <c r="O9" s="51">
        <v>245000</v>
      </c>
    </row>
    <row r="10" spans="1:15">
      <c r="B10" s="52" t="s">
        <v>75</v>
      </c>
      <c r="C10" s="55">
        <f>(C9/C5)*(47/19)</f>
        <v>4.0830934013196978E-2</v>
      </c>
      <c r="D10" s="55">
        <f t="shared" ref="D10:J10" si="1">(D9/D5)*(47/19)</f>
        <v>0.15933837102627357</v>
      </c>
      <c r="E10" s="55">
        <f t="shared" si="1"/>
        <v>3.2974093910135269E-2</v>
      </c>
      <c r="F10" s="55">
        <f t="shared" si="1"/>
        <v>0.44577704706098042</v>
      </c>
      <c r="G10" s="55">
        <f t="shared" si="1"/>
        <v>0.56136780521442597</v>
      </c>
      <c r="H10" s="55">
        <f t="shared" si="1"/>
        <v>0.2414174801665267</v>
      </c>
      <c r="I10" s="55">
        <f t="shared" si="1"/>
        <v>0.42886751009697838</v>
      </c>
      <c r="J10" s="55">
        <f t="shared" si="1"/>
        <v>0.24501557749900046</v>
      </c>
      <c r="M10" s="55">
        <f>(M9/M5)*(47/19)</f>
        <v>0.68053315490322874</v>
      </c>
      <c r="N10" s="55">
        <f>(N9/N5)</f>
        <v>0.8877031713330521</v>
      </c>
      <c r="O10" s="55">
        <f>(O9/O5)*(47/19)</f>
        <v>0.13132894905636586</v>
      </c>
    </row>
    <row r="11" spans="1:15">
      <c r="B11" s="52" t="s">
        <v>76</v>
      </c>
      <c r="C11" s="55">
        <f>1-C10</f>
        <v>0.95916906598680307</v>
      </c>
      <c r="D11" s="55">
        <f t="shared" ref="D11:J11" si="2">1-D10</f>
        <v>0.84066162897372643</v>
      </c>
      <c r="E11" s="55">
        <f t="shared" si="2"/>
        <v>0.96702590608986472</v>
      </c>
      <c r="F11" s="55">
        <f t="shared" si="2"/>
        <v>0.55422295293901958</v>
      </c>
      <c r="G11" s="55">
        <f t="shared" si="2"/>
        <v>0.43863219478557403</v>
      </c>
      <c r="H11" s="55">
        <f t="shared" si="2"/>
        <v>0.75858251983347325</v>
      </c>
      <c r="I11" s="55">
        <f t="shared" si="2"/>
        <v>0.57113248990302168</v>
      </c>
      <c r="J11" s="55">
        <f t="shared" si="2"/>
        <v>0.75498442250099951</v>
      </c>
      <c r="M11" s="55">
        <f>1-M10</f>
        <v>0.31946684509677126</v>
      </c>
      <c r="N11" s="55">
        <f>1-N10</f>
        <v>0.1122968286669479</v>
      </c>
      <c r="O11" s="55">
        <f>1-O10</f>
        <v>0.86867105094363417</v>
      </c>
    </row>
    <row r="12" spans="1:15">
      <c r="B12" s="52" t="s">
        <v>77</v>
      </c>
      <c r="C12" s="51">
        <f>C5*C10</f>
        <v>329197.89473684214</v>
      </c>
      <c r="D12" s="51">
        <f t="shared" ref="D12:J12" si="3">D5*D10</f>
        <v>720678.21052631584</v>
      </c>
      <c r="E12" s="51">
        <f t="shared" si="3"/>
        <v>247368.4210526316</v>
      </c>
      <c r="F12" s="51">
        <f t="shared" si="3"/>
        <v>2392069.9473684211</v>
      </c>
      <c r="G12" s="51">
        <f t="shared" si="3"/>
        <v>3680842.1052631582</v>
      </c>
      <c r="H12" s="51">
        <f t="shared" si="3"/>
        <v>494736.84210526315</v>
      </c>
      <c r="I12" s="51">
        <f t="shared" si="3"/>
        <v>2473684.210526316</v>
      </c>
      <c r="J12" s="51">
        <f t="shared" si="3"/>
        <v>2008631.5789473683</v>
      </c>
      <c r="M12" s="51">
        <f>M5*M10</f>
        <v>3816894.7368421056</v>
      </c>
      <c r="N12" s="51">
        <f>N5*N10</f>
        <v>8401000</v>
      </c>
      <c r="O12" s="51">
        <f>O5*O10</f>
        <v>606052.6315789473</v>
      </c>
    </row>
    <row r="13" spans="1:15">
      <c r="B13" s="52" t="s">
        <v>78</v>
      </c>
      <c r="C13" s="51">
        <f>C5*C11</f>
        <v>7733265.1052631587</v>
      </c>
      <c r="D13" s="51">
        <f t="shared" ref="D13:J13" si="4">D5*D11</f>
        <v>3802263.789473684</v>
      </c>
      <c r="E13" s="51">
        <f t="shared" si="4"/>
        <v>7254533.5789473681</v>
      </c>
      <c r="F13" s="51">
        <f t="shared" si="4"/>
        <v>2973998.0526315789</v>
      </c>
      <c r="G13" s="51">
        <f t="shared" si="4"/>
        <v>2876074.8947368418</v>
      </c>
      <c r="H13" s="51">
        <f t="shared" si="4"/>
        <v>1554563.1578947366</v>
      </c>
      <c r="I13" s="51">
        <f t="shared" si="4"/>
        <v>3294260.7894736845</v>
      </c>
      <c r="J13" s="51">
        <f t="shared" si="4"/>
        <v>6189343.421052631</v>
      </c>
      <c r="M13" s="51">
        <f>M5*M11</f>
        <v>1791788.2631578944</v>
      </c>
      <c r="N13" s="51">
        <f>N5*N11</f>
        <v>1062748.9999999995</v>
      </c>
      <c r="O13" s="51">
        <f>O5*O11</f>
        <v>4008715.3684210526</v>
      </c>
    </row>
    <row r="14" spans="1:15">
      <c r="B14" s="52" t="s">
        <v>79</v>
      </c>
      <c r="C14" s="51">
        <f>C5*0.53</f>
        <v>4273105.3900000006</v>
      </c>
      <c r="D14" s="51">
        <f t="shared" ref="D14:J14" si="5">D5*0.53</f>
        <v>2397159.2600000002</v>
      </c>
      <c r="E14" s="51">
        <f t="shared" si="5"/>
        <v>3976008.06</v>
      </c>
      <c r="F14" s="51">
        <f t="shared" si="5"/>
        <v>2844016.04</v>
      </c>
      <c r="G14" s="51">
        <f t="shared" si="5"/>
        <v>3475166.0100000002</v>
      </c>
      <c r="H14" s="51">
        <f t="shared" si="5"/>
        <v>1086129</v>
      </c>
      <c r="I14" s="51">
        <f t="shared" si="5"/>
        <v>3057010.85</v>
      </c>
      <c r="J14" s="51">
        <f t="shared" si="5"/>
        <v>4344926.75</v>
      </c>
      <c r="M14" s="51">
        <f>M5*0.53</f>
        <v>2972601.99</v>
      </c>
      <c r="N14" s="51">
        <f>N5*0.53</f>
        <v>5015786.9700000007</v>
      </c>
      <c r="O14" s="51">
        <f>O5*0.53</f>
        <v>2445827.04</v>
      </c>
    </row>
    <row r="15" spans="1:15">
      <c r="B15" s="52" t="s">
        <v>80</v>
      </c>
      <c r="C15" s="51">
        <f>C12*0.53</f>
        <v>174474.88421052633</v>
      </c>
      <c r="D15" s="51">
        <f t="shared" ref="D15:J16" si="6">D12*0.53</f>
        <v>381959.45157894742</v>
      </c>
      <c r="E15" s="51">
        <f t="shared" si="6"/>
        <v>131105.26315789475</v>
      </c>
      <c r="F15" s="51">
        <f t="shared" si="6"/>
        <v>1267797.0721052634</v>
      </c>
      <c r="G15" s="51">
        <f t="shared" si="6"/>
        <v>1950846.3157894739</v>
      </c>
      <c r="H15" s="51">
        <f t="shared" si="6"/>
        <v>262210.5263157895</v>
      </c>
      <c r="I15" s="51">
        <f t="shared" si="6"/>
        <v>1311052.6315789474</v>
      </c>
      <c r="J15" s="51">
        <f t="shared" si="6"/>
        <v>1064574.7368421052</v>
      </c>
      <c r="M15" s="51">
        <f t="shared" ref="M15:O16" si="7">M12*0.53</f>
        <v>2022954.2105263162</v>
      </c>
      <c r="N15" s="51">
        <f t="shared" si="7"/>
        <v>4452530</v>
      </c>
      <c r="O15" s="51">
        <f t="shared" si="7"/>
        <v>321207.89473684208</v>
      </c>
    </row>
    <row r="16" spans="1:15">
      <c r="B16" s="52" t="s">
        <v>81</v>
      </c>
      <c r="C16" s="51">
        <f>C13*0.53</f>
        <v>4098630.5057894741</v>
      </c>
      <c r="D16" s="51">
        <f t="shared" si="6"/>
        <v>2015199.8084210525</v>
      </c>
      <c r="E16" s="51">
        <f t="shared" si="6"/>
        <v>3844902.7968421052</v>
      </c>
      <c r="F16" s="51">
        <f t="shared" si="6"/>
        <v>1576218.9678947369</v>
      </c>
      <c r="G16" s="51">
        <f t="shared" si="6"/>
        <v>1524319.6942105263</v>
      </c>
      <c r="H16" s="51">
        <f t="shared" si="6"/>
        <v>823918.47368421045</v>
      </c>
      <c r="I16" s="51">
        <f t="shared" si="6"/>
        <v>1745958.2184210529</v>
      </c>
      <c r="J16" s="51">
        <f t="shared" si="6"/>
        <v>3280352.0131578944</v>
      </c>
      <c r="M16" s="51">
        <f t="shared" si="7"/>
        <v>949647.77947368403</v>
      </c>
      <c r="N16" s="51">
        <f t="shared" si="7"/>
        <v>563256.96999999974</v>
      </c>
      <c r="O16" s="51">
        <f t="shared" si="7"/>
        <v>2124619.1452631578</v>
      </c>
    </row>
    <row r="17" spans="2:18">
      <c r="B17" s="52" t="s">
        <v>82</v>
      </c>
      <c r="C17" s="56" t="s">
        <v>83</v>
      </c>
      <c r="D17" s="56" t="s">
        <v>84</v>
      </c>
      <c r="E17" s="56" t="s">
        <v>85</v>
      </c>
      <c r="F17" s="56" t="s">
        <v>86</v>
      </c>
      <c r="G17" s="56" t="s">
        <v>87</v>
      </c>
      <c r="H17" s="56" t="s">
        <v>88</v>
      </c>
      <c r="I17" s="56" t="s">
        <v>88</v>
      </c>
      <c r="J17" s="56" t="s">
        <v>90</v>
      </c>
      <c r="M17" s="56" t="s">
        <v>88</v>
      </c>
      <c r="N17" s="56" t="s">
        <v>89</v>
      </c>
      <c r="O17" s="56" t="s">
        <v>88</v>
      </c>
    </row>
    <row r="18" spans="2:18">
      <c r="B18" s="52" t="s">
        <v>91</v>
      </c>
      <c r="C18" s="57">
        <v>0.51400000000000001</v>
      </c>
      <c r="D18" s="57">
        <v>0.61499999999999999</v>
      </c>
      <c r="E18" s="57">
        <v>0.49399999999999999</v>
      </c>
      <c r="F18" s="57">
        <v>0.501</v>
      </c>
      <c r="G18" s="57">
        <v>0.58200000000000007</v>
      </c>
      <c r="H18" s="57">
        <v>0.63400000000000001</v>
      </c>
      <c r="I18" s="57">
        <v>0.52100000000000002</v>
      </c>
      <c r="J18" s="57">
        <v>0.38700000000000001</v>
      </c>
      <c r="M18" s="57">
        <v>0.59599999999999997</v>
      </c>
      <c r="N18" s="57">
        <v>0.91500000000000004</v>
      </c>
      <c r="O18" s="57">
        <v>0.622</v>
      </c>
    </row>
    <row r="19" spans="2:18">
      <c r="B19" s="52" t="s">
        <v>92</v>
      </c>
      <c r="C19" s="57">
        <v>0.89100000000000001</v>
      </c>
      <c r="D19" s="57">
        <v>0.69799999999999995</v>
      </c>
      <c r="E19" s="57">
        <v>0.93600000000000005</v>
      </c>
      <c r="F19" s="57">
        <v>0.55800000000000005</v>
      </c>
      <c r="G19" s="57">
        <v>0.623</v>
      </c>
      <c r="H19" s="57">
        <v>0.58499999999999996</v>
      </c>
      <c r="I19" s="57">
        <v>0.72899999999999998</v>
      </c>
      <c r="J19" s="57">
        <v>0.755</v>
      </c>
      <c r="M19" s="57">
        <v>0.69099999999999995</v>
      </c>
      <c r="N19" s="57">
        <v>0.41599999999999998</v>
      </c>
      <c r="O19" s="57">
        <v>0.84699999999999998</v>
      </c>
    </row>
    <row r="20" spans="2:18">
      <c r="B20" s="58" t="s">
        <v>93</v>
      </c>
      <c r="C20" s="59"/>
      <c r="D20" s="59"/>
      <c r="E20" s="59"/>
      <c r="F20" s="59"/>
      <c r="G20" s="59"/>
      <c r="H20" s="59"/>
      <c r="I20" s="59"/>
      <c r="J20" s="59"/>
      <c r="K20" t="s">
        <v>109</v>
      </c>
      <c r="M20" s="59"/>
      <c r="N20" s="59"/>
      <c r="O20" s="59"/>
      <c r="P20" t="s">
        <v>110</v>
      </c>
      <c r="R20" t="s">
        <v>111</v>
      </c>
    </row>
    <row r="21" spans="2:18">
      <c r="B21" s="52" t="s">
        <v>94</v>
      </c>
      <c r="C21" s="56">
        <v>100</v>
      </c>
      <c r="D21" s="56">
        <v>93</v>
      </c>
      <c r="E21" s="56">
        <v>104</v>
      </c>
      <c r="F21" s="56">
        <v>99</v>
      </c>
      <c r="G21" s="56">
        <v>96</v>
      </c>
      <c r="H21" s="56">
        <v>126</v>
      </c>
      <c r="I21" s="56">
        <v>82</v>
      </c>
      <c r="J21" s="56">
        <v>93</v>
      </c>
      <c r="K21">
        <f>SUMPRODUCT(C21:J21,$C$5:$J$5)/SUM($C$5:$J$5)</f>
        <v>97.060442437344548</v>
      </c>
      <c r="M21" s="56">
        <v>111</v>
      </c>
      <c r="N21" s="56">
        <v>60</v>
      </c>
      <c r="O21" s="56">
        <v>101</v>
      </c>
      <c r="P21">
        <f>(SUMPRODUCT(C21:J21,C5:J5)+M21*M5+N21*N5+O21*O5)/(SUM(C5:J5)+SUM(M5:O5))</f>
        <v>93.303865365782428</v>
      </c>
      <c r="R21">
        <f>K21/P21</f>
        <v>1.0402617518238402</v>
      </c>
    </row>
    <row r="22" spans="2:18">
      <c r="B22" s="52" t="s">
        <v>95</v>
      </c>
      <c r="C22" s="60">
        <v>6.2</v>
      </c>
      <c r="D22" s="60">
        <v>4.8</v>
      </c>
      <c r="E22" s="60">
        <v>7.2</v>
      </c>
      <c r="F22" s="60">
        <v>6.2</v>
      </c>
      <c r="G22" s="60">
        <v>7.1</v>
      </c>
      <c r="H22" s="60">
        <v>6.4</v>
      </c>
      <c r="I22" s="60">
        <v>7.5</v>
      </c>
      <c r="J22" s="60">
        <v>5.0999999999999996</v>
      </c>
      <c r="M22" s="60">
        <v>8.6</v>
      </c>
      <c r="N22" s="60">
        <v>3.5</v>
      </c>
      <c r="O22" s="60">
        <v>8</v>
      </c>
    </row>
    <row r="23" spans="2:18">
      <c r="B23" s="52" t="s">
        <v>96</v>
      </c>
      <c r="C23" s="61">
        <f>(C5/2/72)*C22*(C21/1000)</f>
        <v>34713.382361111115</v>
      </c>
      <c r="D23" s="61">
        <f t="shared" ref="D23:J23" si="8">(D5/2/72)*D22*(D21/1000)</f>
        <v>14021.120199999999</v>
      </c>
      <c r="E23" s="61">
        <f t="shared" si="8"/>
        <v>39009.890399999997</v>
      </c>
      <c r="F23" s="61">
        <f t="shared" si="8"/>
        <v>22872.864850000002</v>
      </c>
      <c r="G23" s="61">
        <f t="shared" si="8"/>
        <v>31036.073800000002</v>
      </c>
      <c r="H23" s="61">
        <f t="shared" si="8"/>
        <v>11476.08</v>
      </c>
      <c r="I23" s="61">
        <f t="shared" si="8"/>
        <v>24633.931770833333</v>
      </c>
      <c r="J23" s="61">
        <f t="shared" si="8"/>
        <v>27002.080156249995</v>
      </c>
      <c r="M23" s="61">
        <f>(M5/2/72)*M22*(M21/1000)</f>
        <v>37180.894387500004</v>
      </c>
      <c r="N23" s="61">
        <f>(N5/2/72)*N22*(N21/1000)</f>
        <v>13801.300625</v>
      </c>
      <c r="O23" s="61">
        <f>(O5/2/72)*O22*(O21/1000)</f>
        <v>25893.976000000002</v>
      </c>
    </row>
    <row r="24" spans="2:18">
      <c r="B24" s="58" t="s">
        <v>97</v>
      </c>
      <c r="C24" s="62"/>
      <c r="D24" s="62"/>
      <c r="E24" s="62"/>
      <c r="F24" s="62"/>
      <c r="G24" s="62"/>
      <c r="H24" s="62"/>
      <c r="I24" s="62"/>
      <c r="J24" s="62"/>
      <c r="M24" s="62"/>
      <c r="N24" s="62"/>
      <c r="O24" s="62"/>
    </row>
    <row r="25" spans="2:18">
      <c r="B25" s="52" t="s">
        <v>98</v>
      </c>
      <c r="C25" s="63">
        <v>0.89</v>
      </c>
      <c r="D25" s="63">
        <v>0.95</v>
      </c>
      <c r="E25" s="63">
        <v>0.83</v>
      </c>
      <c r="F25" s="63">
        <v>0.81</v>
      </c>
      <c r="G25" s="63">
        <v>0.81</v>
      </c>
      <c r="H25" s="63">
        <v>0.72</v>
      </c>
      <c r="I25" s="63">
        <v>0.95</v>
      </c>
      <c r="J25" s="63">
        <v>0.9</v>
      </c>
      <c r="M25" s="63">
        <v>0.84</v>
      </c>
      <c r="N25" s="63">
        <v>0.95</v>
      </c>
      <c r="O25" s="63">
        <v>0.88</v>
      </c>
    </row>
    <row r="26" spans="2:18">
      <c r="B26" s="52" t="s">
        <v>99</v>
      </c>
      <c r="C26" s="63">
        <v>0.89</v>
      </c>
      <c r="D26" s="63">
        <v>0.95</v>
      </c>
      <c r="E26" s="63">
        <v>0.4</v>
      </c>
      <c r="F26" s="63">
        <v>0.7</v>
      </c>
      <c r="G26" s="63">
        <v>0.74</v>
      </c>
      <c r="H26" s="63">
        <v>0.6</v>
      </c>
      <c r="I26" s="63">
        <v>0.9</v>
      </c>
      <c r="J26" s="63">
        <v>0.74</v>
      </c>
      <c r="M26" s="63">
        <v>0.67</v>
      </c>
      <c r="N26" s="63">
        <v>0.98</v>
      </c>
      <c r="O26" s="63">
        <v>0.82</v>
      </c>
    </row>
    <row r="27" spans="2:18">
      <c r="B27" s="52" t="s">
        <v>100</v>
      </c>
      <c r="C27" s="63">
        <v>0.3</v>
      </c>
      <c r="D27" s="63">
        <v>0.2</v>
      </c>
      <c r="E27" s="63">
        <v>0.41</v>
      </c>
      <c r="F27" s="63">
        <v>0.3</v>
      </c>
      <c r="G27" s="63">
        <v>0.46</v>
      </c>
      <c r="H27" s="63">
        <v>0.56999999999999995</v>
      </c>
      <c r="I27" s="63">
        <v>0.57999999999999996</v>
      </c>
      <c r="J27" s="63">
        <v>0.51</v>
      </c>
      <c r="M27" s="63">
        <v>0.31</v>
      </c>
      <c r="N27" s="63">
        <v>0.23</v>
      </c>
      <c r="O27" s="63">
        <v>0.39</v>
      </c>
    </row>
    <row r="28" spans="2:18">
      <c r="B28" s="52" t="s">
        <v>101</v>
      </c>
      <c r="C28" s="63">
        <v>0.79</v>
      </c>
      <c r="D28" s="63">
        <v>0.48</v>
      </c>
      <c r="E28" s="63">
        <v>0.22</v>
      </c>
      <c r="F28" s="63">
        <v>0.31</v>
      </c>
      <c r="G28" s="63">
        <v>0.23</v>
      </c>
      <c r="H28" s="63">
        <v>0.1</v>
      </c>
      <c r="I28" s="63">
        <v>0.5</v>
      </c>
      <c r="J28" s="63">
        <v>0.35</v>
      </c>
      <c r="M28" s="63">
        <v>0.4</v>
      </c>
      <c r="N28" s="63">
        <v>0.57999999999999996</v>
      </c>
      <c r="O28" s="63">
        <v>0.34</v>
      </c>
    </row>
    <row r="29" spans="2:18">
      <c r="B29" s="52" t="s">
        <v>102</v>
      </c>
      <c r="C29" s="63">
        <v>0.42</v>
      </c>
      <c r="D29" s="63">
        <v>0.36</v>
      </c>
      <c r="E29" s="63">
        <v>0.52</v>
      </c>
      <c r="F29" s="63">
        <v>0.2</v>
      </c>
      <c r="G29" s="63">
        <v>0.14000000000000001</v>
      </c>
      <c r="H29" s="63">
        <v>0.56999999999999995</v>
      </c>
      <c r="I29" s="63">
        <v>0.32</v>
      </c>
      <c r="J29" s="63">
        <v>0.52</v>
      </c>
      <c r="K29" t="s">
        <v>108</v>
      </c>
      <c r="M29" s="63">
        <v>0.33</v>
      </c>
      <c r="N29" s="63">
        <v>0.51</v>
      </c>
      <c r="O29" s="63">
        <v>0.36</v>
      </c>
    </row>
    <row r="30" spans="2:18">
      <c r="B30" s="52" t="s">
        <v>103</v>
      </c>
      <c r="C30" s="63">
        <v>0.6</v>
      </c>
      <c r="D30" s="63">
        <v>0.56999999999999995</v>
      </c>
      <c r="E30" s="63">
        <v>0.37</v>
      </c>
      <c r="F30" s="63">
        <v>0.28999999999999998</v>
      </c>
      <c r="G30" s="63">
        <v>0.37</v>
      </c>
      <c r="H30" s="63">
        <v>0.38</v>
      </c>
      <c r="I30" s="63">
        <v>0.42</v>
      </c>
      <c r="J30" s="63">
        <v>0.36</v>
      </c>
      <c r="K30">
        <f>SUMPRODUCT(C30:J30,$C$5:$J$5)/SUM($C$5:$J$5)</f>
        <v>0.42323378853306137</v>
      </c>
      <c r="M30" s="63">
        <v>0.36</v>
      </c>
      <c r="N30" s="63">
        <v>0.37</v>
      </c>
      <c r="O30" s="63">
        <v>0.31</v>
      </c>
    </row>
    <row r="31" spans="2:18">
      <c r="B31" s="52" t="s">
        <v>104</v>
      </c>
      <c r="C31" s="64">
        <v>0.27</v>
      </c>
      <c r="D31" s="64">
        <v>0.56000000000000005</v>
      </c>
      <c r="E31" s="64">
        <v>0.28000000000000003</v>
      </c>
      <c r="F31" s="64">
        <v>0.4</v>
      </c>
      <c r="G31" s="64">
        <v>0.63</v>
      </c>
      <c r="H31" s="64">
        <v>0.38</v>
      </c>
      <c r="I31" s="64">
        <v>0.31</v>
      </c>
      <c r="J31" s="64">
        <v>0.16</v>
      </c>
      <c r="K31">
        <f>SUMPRODUCT(C31:J31,$C$5:$J$5)/SUM($C$5:$J$5)</f>
        <v>0.35327063145105042</v>
      </c>
      <c r="M31" s="64">
        <v>0.65</v>
      </c>
      <c r="N31" s="64">
        <v>0.36</v>
      </c>
      <c r="O31" s="64">
        <v>0.43</v>
      </c>
    </row>
  </sheetData>
  <customSheetViews>
    <customSheetView guid="{D4AA915B-EC3C-7A4D-B706-7A05279073E5}">
      <selection activeCell="H34" sqref="H34"/>
    </customSheetView>
    <customSheetView guid="{F02A15F0-0C5A-447E-AD2D-3C398581DCFC}">
      <selection activeCell="A8" sqref="A8"/>
    </customSheetView>
    <customSheetView guid="{F81E8A90-0AD6-6D45-AE39-FE52C9F45C09}">
      <selection activeCell="H34" sqref="H34"/>
    </customSheetView>
  </customSheetViews>
  <conditionalFormatting sqref="M5:O5 C5:J5">
    <cfRule type="colorScale" priority="13">
      <colorScale>
        <cfvo type="min"/>
        <cfvo type="percentile" val="50"/>
        <cfvo type="max"/>
        <color rgb="FFF8696B"/>
        <color rgb="FFFFEB84"/>
        <color rgb="FF63BE7B"/>
      </colorScale>
    </cfRule>
  </conditionalFormatting>
  <conditionalFormatting sqref="M21:O21 C21:J21">
    <cfRule type="colorScale" priority="17">
      <colorScale>
        <cfvo type="min"/>
        <cfvo type="percentile" val="50"/>
        <cfvo type="max"/>
        <color rgb="FF63BE7B"/>
        <color rgb="FFFFEB84"/>
        <color rgb="FFF8696B"/>
      </colorScale>
    </cfRule>
  </conditionalFormatting>
  <conditionalFormatting sqref="M22:O22 C22:J22">
    <cfRule type="colorScale" priority="21">
      <colorScale>
        <cfvo type="min"/>
        <cfvo type="percentile" val="50"/>
        <cfvo type="max"/>
        <color rgb="FF63BE7B"/>
        <color rgb="FFFFEB84"/>
        <color rgb="FFF8696B"/>
      </colorScale>
    </cfRule>
  </conditionalFormatting>
  <conditionalFormatting sqref="M23:O23 C23:J23">
    <cfRule type="colorScale" priority="25">
      <colorScale>
        <cfvo type="min"/>
        <cfvo type="percentile" val="50"/>
        <cfvo type="max"/>
        <color rgb="FF63BE7B"/>
        <color rgb="FFFFEB84"/>
        <color rgb="FFF8696B"/>
      </colorScale>
    </cfRule>
  </conditionalFormatting>
  <conditionalFormatting sqref="M25:O25 C25:J25">
    <cfRule type="colorScale" priority="29">
      <colorScale>
        <cfvo type="min"/>
        <cfvo type="percentile" val="50"/>
        <cfvo type="max"/>
        <color rgb="FFF8696B"/>
        <color rgb="FFFFEB84"/>
        <color rgb="FF63BE7B"/>
      </colorScale>
    </cfRule>
  </conditionalFormatting>
  <conditionalFormatting sqref="M26:O26 C26:J26">
    <cfRule type="colorScale" priority="33">
      <colorScale>
        <cfvo type="min"/>
        <cfvo type="percentile" val="50"/>
        <cfvo type="max"/>
        <color rgb="FFF8696B"/>
        <color rgb="FFFFEB84"/>
        <color rgb="FF63BE7B"/>
      </colorScale>
    </cfRule>
  </conditionalFormatting>
  <conditionalFormatting sqref="M27:O27 C27:J27">
    <cfRule type="colorScale" priority="37">
      <colorScale>
        <cfvo type="min"/>
        <cfvo type="percentile" val="50"/>
        <cfvo type="max"/>
        <color rgb="FFF8696B"/>
        <color rgb="FFFFEB84"/>
        <color rgb="FF63BE7B"/>
      </colorScale>
    </cfRule>
  </conditionalFormatting>
  <conditionalFormatting sqref="M28:O28 C28:J28">
    <cfRule type="colorScale" priority="41">
      <colorScale>
        <cfvo type="min"/>
        <cfvo type="percentile" val="50"/>
        <cfvo type="max"/>
        <color rgb="FFF8696B"/>
        <color rgb="FFFFEB84"/>
        <color rgb="FF63BE7B"/>
      </colorScale>
    </cfRule>
  </conditionalFormatting>
  <conditionalFormatting sqref="M29:O29 C29:J29">
    <cfRule type="colorScale" priority="45">
      <colorScale>
        <cfvo type="min"/>
        <cfvo type="percentile" val="50"/>
        <cfvo type="max"/>
        <color rgb="FFF8696B"/>
        <color rgb="FFFFEB84"/>
        <color rgb="FF63BE7B"/>
      </colorScale>
    </cfRule>
  </conditionalFormatting>
  <conditionalFormatting sqref="M30:O30 C30:J30">
    <cfRule type="colorScale" priority="49">
      <colorScale>
        <cfvo type="min"/>
        <cfvo type="percentile" val="50"/>
        <cfvo type="max"/>
        <color rgb="FFF8696B"/>
        <color rgb="FFFFEB84"/>
        <color rgb="FF63BE7B"/>
      </colorScale>
    </cfRule>
  </conditionalFormatting>
  <conditionalFormatting sqref="M31:O31 C31:J31">
    <cfRule type="colorScale" priority="53">
      <colorScale>
        <cfvo type="min"/>
        <cfvo type="percentile" val="50"/>
        <cfvo type="max"/>
        <color rgb="FFF8696B"/>
        <color rgb="FFFFEB84"/>
        <color rgb="FF63BE7B"/>
      </colorScale>
    </cfRule>
  </conditionalFormatting>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vt:lpstr>
      <vt:lpstr>Regional Data</vt:lpstr>
    </vt:vector>
  </TitlesOfParts>
  <Company>GiveWell</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Marcus</dc:creator>
  <cp:lastModifiedBy>Timothy Telleen-Lawton</cp:lastModifiedBy>
  <dcterms:created xsi:type="dcterms:W3CDTF">2014-07-16T05:40:47Z</dcterms:created>
  <dcterms:modified xsi:type="dcterms:W3CDTF">2014-10-07T16:22:20Z</dcterms:modified>
</cp:coreProperties>
</file>