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426"/>
  <workbookPr/>
  <mc:AlternateContent xmlns:mc="http://schemas.openxmlformats.org/markup-compatibility/2006">
    <mc:Choice Requires="x15">
      <x15ac:absPath xmlns:x15ac="http://schemas.microsoft.com/office/spreadsheetml/2010/11/ac" url="/Users/nicolezok/Desktop/"/>
    </mc:Choice>
  </mc:AlternateContent>
  <bookViews>
    <workbookView xWindow="0" yWindow="460" windowWidth="28800" windowHeight="15940" activeTab="5"/>
  </bookViews>
  <sheets>
    <sheet name="Expenditures 2018" sheetId="5" r:id="rId1"/>
    <sheet name="Good Venture 2018 - 2021" sheetId="1" r:id="rId2"/>
    <sheet name="Foundation 2 2019 - 2022" sheetId="7" r:id="rId3"/>
    <sheet name="Foundation 1 2019 - 2021" sheetId="9" r:id="rId4"/>
    <sheet name="Effect Hope 2019" sheetId="10" r:id="rId5"/>
    <sheet name="summary VAS 2018 - 2021" sheetId="6" r:id="rId6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0" i="6" l="1"/>
  <c r="E39" i="6"/>
  <c r="C4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10" i="6"/>
  <c r="Q11" i="6"/>
  <c r="Q12" i="6"/>
  <c r="Q13" i="6"/>
  <c r="E14" i="10"/>
  <c r="Q14" i="6"/>
  <c r="Q15" i="6"/>
  <c r="Q16" i="6"/>
  <c r="E17" i="10"/>
  <c r="Q17" i="6"/>
  <c r="E18" i="10"/>
  <c r="Q18" i="6"/>
  <c r="E19" i="10"/>
  <c r="Q19" i="6"/>
  <c r="Q20" i="6"/>
  <c r="Q21" i="6"/>
  <c r="Q22" i="6"/>
  <c r="Q23" i="6"/>
  <c r="Q24" i="6"/>
  <c r="Q25" i="6"/>
  <c r="Q10" i="6"/>
  <c r="E26" i="10"/>
  <c r="E27" i="10"/>
  <c r="D26" i="10"/>
  <c r="D27" i="10"/>
  <c r="D28" i="10"/>
  <c r="E28" i="10"/>
  <c r="D29" i="10"/>
  <c r="Q26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10" i="6"/>
  <c r="AX26" i="6"/>
  <c r="AX28" i="6"/>
  <c r="AY26" i="6"/>
  <c r="AY28" i="6"/>
  <c r="AO26" i="6"/>
  <c r="AO28" i="6"/>
  <c r="E26" i="9"/>
  <c r="E27" i="9"/>
  <c r="U27" i="6"/>
  <c r="U26" i="6"/>
  <c r="U28" i="6"/>
  <c r="K26" i="6"/>
  <c r="K27" i="6"/>
  <c r="K28" i="6"/>
  <c r="I26" i="6"/>
  <c r="J26" i="6"/>
  <c r="J27" i="6"/>
  <c r="J28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10" i="6"/>
  <c r="V11" i="6"/>
  <c r="V12" i="6"/>
  <c r="V13" i="6"/>
  <c r="V14" i="6"/>
  <c r="V15" i="6"/>
  <c r="V16" i="6"/>
  <c r="V18" i="6"/>
  <c r="V19" i="6"/>
  <c r="V20" i="6"/>
  <c r="V21" i="6"/>
  <c r="V22" i="6"/>
  <c r="V23" i="6"/>
  <c r="V24" i="6"/>
  <c r="V25" i="6"/>
  <c r="V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10" i="6"/>
  <c r="T26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10" i="6"/>
  <c r="S26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10" i="6"/>
  <c r="G11" i="6"/>
  <c r="G12" i="6"/>
  <c r="G13" i="6"/>
  <c r="G14" i="6"/>
  <c r="G15" i="6"/>
  <c r="G16" i="6"/>
  <c r="G17" i="6"/>
  <c r="G18" i="6"/>
  <c r="G20" i="6"/>
  <c r="G21" i="6"/>
  <c r="G22" i="6"/>
  <c r="G23" i="6"/>
  <c r="G24" i="6"/>
  <c r="G25" i="6"/>
  <c r="G10" i="6"/>
  <c r="AR26" i="6"/>
  <c r="AS26" i="6"/>
  <c r="AT26" i="6"/>
  <c r="AV26" i="6"/>
  <c r="AR27" i="6"/>
  <c r="AR28" i="6"/>
  <c r="AS27" i="6"/>
  <c r="AT27" i="6"/>
  <c r="AV27" i="6"/>
  <c r="AV28" i="6"/>
  <c r="AS28" i="6"/>
  <c r="AT28" i="6"/>
  <c r="AH26" i="6"/>
  <c r="AH27" i="6"/>
  <c r="AH28" i="6"/>
  <c r="AI26" i="6"/>
  <c r="AI27" i="6"/>
  <c r="AI28" i="6"/>
  <c r="AJ26" i="6"/>
  <c r="AL26" i="6"/>
  <c r="AJ27" i="6"/>
  <c r="AJ28" i="6"/>
  <c r="AL27" i="6"/>
  <c r="AL28" i="6"/>
  <c r="N26" i="6"/>
  <c r="N27" i="6"/>
  <c r="N28" i="6"/>
  <c r="O26" i="6"/>
  <c r="O27" i="6"/>
  <c r="O28" i="6"/>
  <c r="R26" i="6"/>
  <c r="R27" i="6"/>
  <c r="R28" i="6"/>
  <c r="X26" i="6"/>
  <c r="X27" i="6"/>
  <c r="X28" i="6"/>
  <c r="Y26" i="6"/>
  <c r="Z26" i="6"/>
  <c r="Z27" i="6"/>
  <c r="Z28" i="6"/>
  <c r="AB26" i="6"/>
  <c r="AB27" i="6"/>
  <c r="AB28" i="6"/>
  <c r="Y27" i="6"/>
  <c r="Y28" i="6"/>
  <c r="E40" i="6"/>
  <c r="E38" i="6"/>
  <c r="E35" i="6"/>
  <c r="V17" i="6"/>
  <c r="E37" i="6"/>
  <c r="E36" i="6"/>
  <c r="E34" i="6"/>
  <c r="E33" i="6"/>
  <c r="Q26" i="9"/>
  <c r="Q27" i="9"/>
  <c r="Q28" i="9"/>
  <c r="P26" i="9"/>
  <c r="P27" i="9"/>
  <c r="P28" i="9"/>
  <c r="O26" i="9"/>
  <c r="O27" i="9"/>
  <c r="O28" i="9"/>
  <c r="N26" i="9"/>
  <c r="N27" i="9"/>
  <c r="AN27" i="6"/>
  <c r="L26" i="9"/>
  <c r="L27" i="9"/>
  <c r="L28" i="9"/>
  <c r="K26" i="9"/>
  <c r="K27" i="9"/>
  <c r="K28" i="9"/>
  <c r="J26" i="9"/>
  <c r="J27" i="9"/>
  <c r="I26" i="9"/>
  <c r="I27" i="9"/>
  <c r="AD27" i="6"/>
  <c r="F26" i="9"/>
  <c r="F27" i="9"/>
  <c r="G26" i="9"/>
  <c r="G27" i="9"/>
  <c r="G28" i="9"/>
  <c r="J28" i="9"/>
  <c r="I28" i="9"/>
  <c r="F28" i="9"/>
  <c r="AE27" i="6"/>
  <c r="AE26" i="6"/>
  <c r="AE28" i="6"/>
  <c r="N28" i="9"/>
  <c r="E28" i="9"/>
  <c r="AD26" i="6"/>
  <c r="AD28" i="6"/>
  <c r="AF26" i="6"/>
  <c r="V26" i="6"/>
  <c r="AN26" i="6"/>
  <c r="AN28" i="6"/>
  <c r="AP26" i="6"/>
  <c r="AZ26" i="6"/>
  <c r="P26" i="6"/>
  <c r="AA26" i="6"/>
  <c r="AK26" i="6"/>
  <c r="AU26" i="6"/>
  <c r="AC26" i="6"/>
  <c r="AM26" i="6"/>
  <c r="AW26" i="6"/>
  <c r="D26" i="9"/>
  <c r="D27" i="9"/>
  <c r="Q26" i="7"/>
  <c r="Q27" i="7"/>
  <c r="D28" i="9"/>
  <c r="T27" i="6"/>
  <c r="T28" i="6"/>
  <c r="AW27" i="6"/>
  <c r="AW28" i="6"/>
  <c r="D29" i="9"/>
  <c r="N29" i="9"/>
  <c r="I29" i="9"/>
  <c r="H26" i="7"/>
  <c r="I26" i="7"/>
  <c r="J26" i="7"/>
  <c r="L26" i="7"/>
  <c r="M26" i="7"/>
  <c r="N26" i="7"/>
  <c r="P26" i="7"/>
  <c r="Q28" i="7"/>
  <c r="R26" i="7"/>
  <c r="J27" i="7"/>
  <c r="I27" i="7"/>
  <c r="R27" i="7"/>
  <c r="M27" i="7"/>
  <c r="H27" i="7"/>
  <c r="P27" i="7"/>
  <c r="N27" i="7"/>
  <c r="L27" i="7"/>
  <c r="D30" i="9"/>
  <c r="AU27" i="6"/>
  <c r="AU28" i="6"/>
  <c r="AZ27" i="6"/>
  <c r="AZ28" i="6"/>
  <c r="AR29" i="6"/>
  <c r="L28" i="7"/>
  <c r="M28" i="7"/>
  <c r="N28" i="7"/>
  <c r="L29" i="7"/>
  <c r="P28" i="7"/>
  <c r="R28" i="7"/>
  <c r="P29" i="7"/>
  <c r="I28" i="7"/>
  <c r="H28" i="7"/>
  <c r="J28" i="7"/>
  <c r="F26" i="7"/>
  <c r="E26" i="7"/>
  <c r="E27" i="7"/>
  <c r="D26" i="7"/>
  <c r="L26" i="6"/>
  <c r="I27" i="6"/>
  <c r="I28" i="6"/>
  <c r="H26" i="6"/>
  <c r="F26" i="6"/>
  <c r="F27" i="6"/>
  <c r="F28" i="6"/>
  <c r="D26" i="6"/>
  <c r="D27" i="6"/>
  <c r="D28" i="6"/>
  <c r="H29" i="7"/>
  <c r="D27" i="7"/>
  <c r="F27" i="7"/>
  <c r="E28" i="7"/>
  <c r="F28" i="7"/>
  <c r="D28" i="7"/>
  <c r="D29" i="7"/>
  <c r="D30" i="7"/>
  <c r="R26" i="5"/>
  <c r="R27" i="5"/>
  <c r="R28" i="5"/>
  <c r="Q26" i="5"/>
  <c r="Q27" i="5"/>
  <c r="J26" i="5"/>
  <c r="J27" i="5"/>
  <c r="H26" i="5"/>
  <c r="H27" i="5"/>
  <c r="G26" i="5"/>
  <c r="G27" i="5"/>
  <c r="F26" i="5"/>
  <c r="F27" i="5"/>
  <c r="F28" i="5"/>
  <c r="E26" i="5"/>
  <c r="E27" i="5"/>
  <c r="E28" i="5"/>
  <c r="D26" i="5"/>
  <c r="D27" i="5"/>
  <c r="D28" i="5"/>
  <c r="S25" i="5"/>
  <c r="O25" i="5"/>
  <c r="K25" i="5"/>
  <c r="U25" i="5"/>
  <c r="S24" i="5"/>
  <c r="O24" i="5"/>
  <c r="K24" i="5"/>
  <c r="S23" i="5"/>
  <c r="O23" i="5"/>
  <c r="K23" i="5"/>
  <c r="S22" i="5"/>
  <c r="O22" i="5"/>
  <c r="K22" i="5"/>
  <c r="U22" i="5"/>
  <c r="S21" i="5"/>
  <c r="O21" i="5"/>
  <c r="K21" i="5"/>
  <c r="U21" i="5"/>
  <c r="S20" i="5"/>
  <c r="O20" i="5"/>
  <c r="K20" i="5"/>
  <c r="S19" i="5"/>
  <c r="M19" i="5"/>
  <c r="K19" i="5"/>
  <c r="S18" i="5"/>
  <c r="O18" i="5"/>
  <c r="K18" i="5"/>
  <c r="S17" i="5"/>
  <c r="O17" i="5"/>
  <c r="K17" i="5"/>
  <c r="S16" i="5"/>
  <c r="O16" i="5"/>
  <c r="K16" i="5"/>
  <c r="S15" i="5"/>
  <c r="O15" i="5"/>
  <c r="K15" i="5"/>
  <c r="S14" i="5"/>
  <c r="O14" i="5"/>
  <c r="K14" i="5"/>
  <c r="S13" i="5"/>
  <c r="O13" i="5"/>
  <c r="K13" i="5"/>
  <c r="S12" i="5"/>
  <c r="O12" i="5"/>
  <c r="K12" i="5"/>
  <c r="S11" i="5"/>
  <c r="O11" i="5"/>
  <c r="K11" i="5"/>
  <c r="S10" i="5"/>
  <c r="O10" i="5"/>
  <c r="K10" i="5"/>
  <c r="M26" i="5"/>
  <c r="E19" i="6"/>
  <c r="E26" i="6"/>
  <c r="E27" i="6"/>
  <c r="E28" i="6"/>
  <c r="J28" i="5"/>
  <c r="L27" i="6"/>
  <c r="L28" i="6"/>
  <c r="U16" i="5"/>
  <c r="H28" i="5"/>
  <c r="H27" i="6"/>
  <c r="H28" i="6"/>
  <c r="U12" i="5"/>
  <c r="G28" i="5"/>
  <c r="U11" i="5"/>
  <c r="U15" i="5"/>
  <c r="U14" i="5"/>
  <c r="U18" i="5"/>
  <c r="U20" i="5"/>
  <c r="U24" i="5"/>
  <c r="U10" i="5"/>
  <c r="U13" i="5"/>
  <c r="U17" i="5"/>
  <c r="N19" i="5"/>
  <c r="U23" i="5"/>
  <c r="M27" i="5"/>
  <c r="M28" i="5"/>
  <c r="Q28" i="5"/>
  <c r="S28" i="5"/>
  <c r="Q29" i="5"/>
  <c r="S27" i="5"/>
  <c r="K26" i="5"/>
  <c r="K27" i="5"/>
  <c r="S26" i="5"/>
  <c r="G19" i="6"/>
  <c r="G26" i="6"/>
  <c r="N26" i="5"/>
  <c r="O19" i="5"/>
  <c r="U19" i="5"/>
  <c r="U26" i="5"/>
  <c r="K28" i="5"/>
  <c r="N27" i="5"/>
  <c r="O26" i="5"/>
  <c r="O27" i="5"/>
  <c r="D29" i="5"/>
  <c r="N28" i="5"/>
  <c r="M29" i="5"/>
  <c r="D30" i="5"/>
  <c r="G27" i="6"/>
  <c r="G28" i="6"/>
  <c r="D29" i="6"/>
  <c r="O28" i="5"/>
  <c r="U28" i="5"/>
  <c r="U29" i="5"/>
  <c r="U27" i="5"/>
  <c r="I26" i="1"/>
  <c r="I27" i="1"/>
  <c r="I28" i="1"/>
  <c r="Q26" i="1"/>
  <c r="Q27" i="1"/>
  <c r="Y26" i="1"/>
  <c r="Y27" i="1"/>
  <c r="AG26" i="1"/>
  <c r="AG27" i="1"/>
  <c r="X26" i="1"/>
  <c r="X27" i="1"/>
  <c r="X28" i="1"/>
  <c r="AF26" i="1"/>
  <c r="AF27" i="1"/>
  <c r="AF28" i="1"/>
  <c r="P26" i="1"/>
  <c r="P27" i="1"/>
  <c r="P28" i="1"/>
  <c r="AB26" i="1"/>
  <c r="AB27" i="1"/>
  <c r="AB28" i="1"/>
  <c r="AC26" i="1"/>
  <c r="AC27" i="1"/>
  <c r="AC28" i="1"/>
  <c r="AD26" i="1"/>
  <c r="AD27" i="1"/>
  <c r="AD28" i="1"/>
  <c r="AE26" i="1"/>
  <c r="AE27" i="1"/>
  <c r="AH26" i="1"/>
  <c r="AH27" i="1"/>
  <c r="AE28" i="1"/>
  <c r="AK27" i="6"/>
  <c r="AK28" i="6"/>
  <c r="Y28" i="1"/>
  <c r="AC27" i="6"/>
  <c r="AC28" i="6"/>
  <c r="AH28" i="1"/>
  <c r="AP27" i="6"/>
  <c r="AP28" i="6"/>
  <c r="Q28" i="1"/>
  <c r="S27" i="6"/>
  <c r="S28" i="6"/>
  <c r="AG28" i="1"/>
  <c r="AM27" i="6"/>
  <c r="AM28" i="6"/>
  <c r="AH29" i="6"/>
  <c r="AB29" i="1"/>
  <c r="G26" i="1"/>
  <c r="G27" i="1"/>
  <c r="G28" i="1"/>
  <c r="H26" i="1"/>
  <c r="H27" i="1"/>
  <c r="H28" i="1"/>
  <c r="J26" i="1"/>
  <c r="J27" i="1"/>
  <c r="J28" i="1"/>
  <c r="U26" i="1"/>
  <c r="U27" i="1"/>
  <c r="U28" i="1"/>
  <c r="V26" i="1"/>
  <c r="V27" i="1"/>
  <c r="V28" i="1"/>
  <c r="W26" i="1"/>
  <c r="W27" i="1"/>
  <c r="Z26" i="1"/>
  <c r="Z27" i="1"/>
  <c r="O26" i="1"/>
  <c r="O27" i="1"/>
  <c r="Z28" i="1"/>
  <c r="AF27" i="6"/>
  <c r="AF28" i="6"/>
  <c r="W28" i="1"/>
  <c r="AA27" i="6"/>
  <c r="AA28" i="6"/>
  <c r="X29" i="6"/>
  <c r="O28" i="1"/>
  <c r="Q27" i="6"/>
  <c r="Q28" i="6"/>
  <c r="R26" i="1"/>
  <c r="R27" i="1"/>
  <c r="E26" i="1"/>
  <c r="E27" i="1"/>
  <c r="F26" i="1"/>
  <c r="F27" i="1"/>
  <c r="D26" i="1"/>
  <c r="D27" i="1"/>
  <c r="V27" i="6"/>
  <c r="V28" i="6"/>
  <c r="D28" i="1"/>
  <c r="R28" i="1"/>
  <c r="F28" i="1"/>
  <c r="L26" i="1"/>
  <c r="L27" i="1"/>
  <c r="T26" i="1"/>
  <c r="T27" i="1"/>
  <c r="M26" i="1"/>
  <c r="M27" i="1"/>
  <c r="N26" i="1"/>
  <c r="N27" i="1"/>
  <c r="P27" i="6"/>
  <c r="P28" i="6"/>
  <c r="N29" i="6"/>
  <c r="L30" i="6"/>
  <c r="T28" i="1"/>
  <c r="L28" i="1"/>
  <c r="M28" i="1"/>
  <c r="N28" i="1"/>
  <c r="T29" i="1"/>
  <c r="L29" i="1"/>
  <c r="E28" i="1"/>
  <c r="D29" i="1"/>
  <c r="D30" i="1"/>
</calcChain>
</file>

<file path=xl/sharedStrings.xml><?xml version="1.0" encoding="utf-8"?>
<sst xmlns="http://schemas.openxmlformats.org/spreadsheetml/2006/main" count="276" uniqueCount="51">
  <si>
    <t>Mali</t>
  </si>
  <si>
    <t>Personnel</t>
  </si>
  <si>
    <t>Travel</t>
  </si>
  <si>
    <t>Equipment and supplies</t>
  </si>
  <si>
    <t>Other direct costs</t>
  </si>
  <si>
    <t>Activities</t>
  </si>
  <si>
    <t>Project/Program Planning</t>
  </si>
  <si>
    <t>Advocacy &amp; policy developement</t>
  </si>
  <si>
    <t xml:space="preserve">Training &amp; Capacity Building </t>
  </si>
  <si>
    <t xml:space="preserve">Service Delivery </t>
  </si>
  <si>
    <t xml:space="preserve">Behavior Change &amp; Mobilization </t>
  </si>
  <si>
    <t>Monitoring and Evaluation</t>
  </si>
  <si>
    <t>Sub Agreements</t>
  </si>
  <si>
    <t>Overheads</t>
  </si>
  <si>
    <t>Total direct costs</t>
  </si>
  <si>
    <t>TOTAL</t>
  </si>
  <si>
    <t>Guinea</t>
  </si>
  <si>
    <t>Burkina Faso</t>
  </si>
  <si>
    <t>Regional support</t>
  </si>
  <si>
    <t>Total per year</t>
  </si>
  <si>
    <t>Grand total</t>
  </si>
  <si>
    <t>Niger</t>
  </si>
  <si>
    <t>Cote d'Ivoire</t>
  </si>
  <si>
    <t>Sierra Leone</t>
  </si>
  <si>
    <t>Total</t>
  </si>
  <si>
    <t>Good Venture - 1</t>
  </si>
  <si>
    <t>Small Donations</t>
  </si>
  <si>
    <t>Total VAS Campaign</t>
  </si>
  <si>
    <t>Year 1 (2018) -Actual Expenses</t>
  </si>
  <si>
    <t>PECS survey Mali</t>
  </si>
  <si>
    <t>PECS survey Cote d'Ivoire</t>
  </si>
  <si>
    <t>Cote D'Ivoire</t>
  </si>
  <si>
    <t>HQ Support</t>
  </si>
  <si>
    <t>Other Direct Costs</t>
  </si>
  <si>
    <t>GV 1&amp;2</t>
  </si>
  <si>
    <t>small donations</t>
  </si>
  <si>
    <t>Kenya</t>
  </si>
  <si>
    <t>Mozambique</t>
  </si>
  <si>
    <t>founders for good</t>
  </si>
  <si>
    <t>planning</t>
  </si>
  <si>
    <t>training</t>
  </si>
  <si>
    <t>service delivery</t>
  </si>
  <si>
    <t>mob</t>
  </si>
  <si>
    <t>monit</t>
  </si>
  <si>
    <t>Expenditures 2018</t>
  </si>
  <si>
    <t>Remaining funds</t>
  </si>
  <si>
    <t>Source</t>
  </si>
  <si>
    <t>Available funding for VAS programming 2018 - 2022</t>
  </si>
  <si>
    <t>Effect: Hope</t>
  </si>
  <si>
    <t>Foundation 1</t>
  </si>
  <si>
    <t>Foundation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</si>
</sst>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[$$-409]#,##0"/>
    <numFmt numFmtId="167" formatCode="_-* #,##0_-;\-* #,##0_-;_-* &quot;-&quot;??_-;_-@_-"/>
    <numFmt numFmtId="168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4">
    <xf numFmtId="0" fontId="0" fillId="0" borderId="0" xfId="0"/>
    <xf numFmtId="0" fontId="0" fillId="2" borderId="0" xfId="0" applyFont="1" applyFill="1"/>
    <xf numFmtId="166" fontId="1" fillId="3" borderId="3" xfId="0" applyNumberFormat="1" applyFont="1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center" vertical="center" wrapText="1"/>
    </xf>
    <xf numFmtId="166" fontId="0" fillId="5" borderId="3" xfId="0" applyNumberFormat="1" applyFont="1" applyFill="1" applyBorder="1"/>
    <xf numFmtId="166" fontId="0" fillId="4" borderId="3" xfId="0" applyNumberFormat="1" applyFont="1" applyFill="1" applyBorder="1"/>
    <xf numFmtId="166" fontId="0" fillId="7" borderId="3" xfId="0" applyNumberFormat="1" applyFont="1" applyFill="1" applyBorder="1"/>
    <xf numFmtId="166" fontId="0" fillId="2" borderId="0" xfId="0" applyNumberFormat="1" applyFont="1" applyFill="1"/>
    <xf numFmtId="167" fontId="0" fillId="2" borderId="0" xfId="1" applyNumberFormat="1" applyFont="1" applyFill="1"/>
    <xf numFmtId="0" fontId="3" fillId="2" borderId="0" xfId="0" applyFont="1" applyFill="1"/>
    <xf numFmtId="0" fontId="3" fillId="5" borderId="3" xfId="0" applyFont="1" applyFill="1" applyBorder="1" applyAlignment="1">
      <alignment horizontal="center"/>
    </xf>
    <xf numFmtId="166" fontId="0" fillId="5" borderId="4" xfId="0" applyNumberFormat="1" applyFont="1" applyFill="1" applyBorder="1" applyAlignment="1">
      <alignment horizontal="center"/>
    </xf>
    <xf numFmtId="166" fontId="0" fillId="2" borderId="6" xfId="0" applyNumberFormat="1" applyFont="1" applyFill="1" applyBorder="1" applyAlignment="1">
      <alignment horizontal="left" vertical="center"/>
    </xf>
    <xf numFmtId="166" fontId="0" fillId="2" borderId="7" xfId="0" applyNumberFormat="1" applyFont="1" applyFill="1" applyBorder="1" applyAlignment="1">
      <alignment horizontal="left" vertical="center"/>
    </xf>
    <xf numFmtId="166" fontId="0" fillId="2" borderId="5" xfId="0" applyNumberFormat="1" applyFont="1" applyFill="1" applyBorder="1"/>
    <xf numFmtId="166" fontId="0" fillId="2" borderId="6" xfId="0" applyNumberFormat="1" applyFont="1" applyFill="1" applyBorder="1"/>
    <xf numFmtId="166" fontId="0" fillId="2" borderId="7" xfId="0" applyNumberFormat="1" applyFont="1" applyFill="1" applyBorder="1"/>
    <xf numFmtId="6" fontId="0" fillId="2" borderId="0" xfId="0" applyNumberFormat="1" applyFont="1" applyFill="1"/>
    <xf numFmtId="0" fontId="5" fillId="2" borderId="0" xfId="0" applyFont="1" applyFill="1"/>
    <xf numFmtId="0" fontId="5" fillId="2" borderId="9" xfId="0" applyFont="1" applyFill="1" applyBorder="1"/>
    <xf numFmtId="0" fontId="5" fillId="2" borderId="11" xfId="0" applyFont="1" applyFill="1" applyBorder="1"/>
    <xf numFmtId="0" fontId="6" fillId="2" borderId="10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6" fontId="8" fillId="2" borderId="0" xfId="0" applyNumberFormat="1" applyFont="1" applyFill="1"/>
    <xf numFmtId="168" fontId="5" fillId="2" borderId="18" xfId="2" applyNumberFormat="1" applyFont="1" applyFill="1" applyBorder="1"/>
    <xf numFmtId="168" fontId="5" fillId="2" borderId="3" xfId="2" applyNumberFormat="1" applyFont="1" applyFill="1" applyBorder="1"/>
    <xf numFmtId="168" fontId="5" fillId="2" borderId="19" xfId="2" applyNumberFormat="1" applyFont="1" applyFill="1" applyBorder="1"/>
    <xf numFmtId="168" fontId="5" fillId="5" borderId="4" xfId="2" applyNumberFormat="1" applyFont="1" applyFill="1" applyBorder="1"/>
    <xf numFmtId="168" fontId="5" fillId="7" borderId="18" xfId="2" applyNumberFormat="1" applyFont="1" applyFill="1" applyBorder="1"/>
    <xf numFmtId="168" fontId="5" fillId="7" borderId="3" xfId="2" applyNumberFormat="1" applyFont="1" applyFill="1" applyBorder="1"/>
    <xf numFmtId="168" fontId="5" fillId="7" borderId="19" xfId="2" applyNumberFormat="1" applyFont="1" applyFill="1" applyBorder="1"/>
    <xf numFmtId="168" fontId="9" fillId="7" borderId="19" xfId="2" applyNumberFormat="1" applyFont="1" applyFill="1" applyBorder="1"/>
    <xf numFmtId="168" fontId="9" fillId="2" borderId="19" xfId="2" applyNumberFormat="1" applyFont="1" applyFill="1" applyBorder="1"/>
    <xf numFmtId="168" fontId="7" fillId="4" borderId="18" xfId="2" applyNumberFormat="1" applyFont="1" applyFill="1" applyBorder="1"/>
    <xf numFmtId="168" fontId="7" fillId="4" borderId="3" xfId="2" applyNumberFormat="1" applyFont="1" applyFill="1" applyBorder="1"/>
    <xf numFmtId="168" fontId="7" fillId="4" borderId="19" xfId="2" applyNumberFormat="1" applyFont="1" applyFill="1" applyBorder="1"/>
    <xf numFmtId="168" fontId="7" fillId="5" borderId="4" xfId="2" applyNumberFormat="1" applyFont="1" applyFill="1" applyBorder="1"/>
    <xf numFmtId="168" fontId="9" fillId="4" borderId="19" xfId="2" applyNumberFormat="1" applyFont="1" applyFill="1" applyBorder="1"/>
    <xf numFmtId="166" fontId="10" fillId="5" borderId="28" xfId="0" applyNumberFormat="1" applyFont="1" applyFill="1" applyBorder="1" applyAlignment="1">
      <alignment horizontal="center"/>
    </xf>
    <xf numFmtId="166" fontId="10" fillId="3" borderId="30" xfId="0" applyNumberFormat="1" applyFont="1" applyFill="1" applyBorder="1" applyAlignment="1">
      <alignment horizontal="center"/>
    </xf>
    <xf numFmtId="0" fontId="7" fillId="2" borderId="0" xfId="0" applyFont="1" applyFill="1"/>
    <xf numFmtId="0" fontId="9" fillId="6" borderId="17" xfId="0" applyFont="1" applyFill="1" applyBorder="1"/>
    <xf numFmtId="166" fontId="0" fillId="2" borderId="3" xfId="0" applyNumberFormat="1" applyFont="1" applyFill="1" applyBorder="1"/>
    <xf numFmtId="166" fontId="0" fillId="5" borderId="3" xfId="0" applyNumberFormat="1" applyFont="1" applyFill="1" applyBorder="1" applyAlignment="1">
      <alignment horizontal="center"/>
    </xf>
    <xf numFmtId="0" fontId="0" fillId="8" borderId="3" xfId="0" applyFont="1" applyFill="1" applyBorder="1" applyAlignment="1">
      <alignment wrapText="1"/>
    </xf>
    <xf numFmtId="6" fontId="0" fillId="8" borderId="3" xfId="0" applyNumberFormat="1" applyFont="1" applyFill="1" applyBorder="1" applyAlignment="1">
      <alignment wrapText="1"/>
    </xf>
    <xf numFmtId="166" fontId="4" fillId="6" borderId="4" xfId="0" applyNumberFormat="1" applyFont="1" applyFill="1" applyBorder="1" applyAlignment="1"/>
    <xf numFmtId="165" fontId="0" fillId="2" borderId="0" xfId="1" applyFont="1" applyFill="1"/>
    <xf numFmtId="166" fontId="0" fillId="2" borderId="0" xfId="1" applyNumberFormat="1" applyFont="1" applyFill="1"/>
    <xf numFmtId="166" fontId="8" fillId="3" borderId="35" xfId="0" applyNumberFormat="1" applyFont="1" applyFill="1" applyBorder="1" applyAlignment="1">
      <alignment horizontal="center" vertical="center" wrapText="1"/>
    </xf>
    <xf numFmtId="166" fontId="8" fillId="3" borderId="36" xfId="0" applyNumberFormat="1" applyFont="1" applyFill="1" applyBorder="1" applyAlignment="1">
      <alignment horizontal="center" vertical="center" wrapText="1"/>
    </xf>
    <xf numFmtId="166" fontId="8" fillId="3" borderId="37" xfId="0" applyNumberFormat="1" applyFont="1" applyFill="1" applyBorder="1" applyAlignment="1">
      <alignment horizontal="center" vertical="center" wrapText="1"/>
    </xf>
    <xf numFmtId="166" fontId="8" fillId="5" borderId="9" xfId="0" applyNumberFormat="1" applyFont="1" applyFill="1" applyBorder="1" applyAlignment="1">
      <alignment horizontal="center" vertical="center" wrapText="1"/>
    </xf>
    <xf numFmtId="166" fontId="8" fillId="3" borderId="24" xfId="0" applyNumberFormat="1" applyFont="1" applyFill="1" applyBorder="1" applyAlignment="1">
      <alignment horizontal="center" vertical="center" wrapText="1"/>
    </xf>
    <xf numFmtId="166" fontId="8" fillId="3" borderId="25" xfId="0" applyNumberFormat="1" applyFont="1" applyFill="1" applyBorder="1" applyAlignment="1">
      <alignment horizontal="center" vertical="center" wrapText="1"/>
    </xf>
    <xf numFmtId="168" fontId="5" fillId="2" borderId="40" xfId="2" applyNumberFormat="1" applyFont="1" applyFill="1" applyBorder="1"/>
    <xf numFmtId="168" fontId="5" fillId="2" borderId="38" xfId="2" applyNumberFormat="1" applyFont="1" applyFill="1" applyBorder="1"/>
    <xf numFmtId="168" fontId="5" fillId="2" borderId="39" xfId="2" applyNumberFormat="1" applyFont="1" applyFill="1" applyBorder="1"/>
    <xf numFmtId="168" fontId="5" fillId="5" borderId="41" xfId="2" applyNumberFormat="1" applyFont="1" applyFill="1" applyBorder="1"/>
    <xf numFmtId="166" fontId="5" fillId="2" borderId="40" xfId="0" applyNumberFormat="1" applyFont="1" applyFill="1" applyBorder="1"/>
    <xf numFmtId="166" fontId="5" fillId="2" borderId="42" xfId="0" applyNumberFormat="1" applyFont="1" applyFill="1" applyBorder="1"/>
    <xf numFmtId="168" fontId="5" fillId="2" borderId="41" xfId="2" applyNumberFormat="1" applyFont="1" applyFill="1" applyBorder="1"/>
    <xf numFmtId="168" fontId="9" fillId="2" borderId="38" xfId="2" applyNumberFormat="1" applyFont="1" applyFill="1" applyBorder="1"/>
    <xf numFmtId="168" fontId="5" fillId="2" borderId="45" xfId="2" applyNumberFormat="1" applyFont="1" applyFill="1" applyBorder="1"/>
    <xf numFmtId="168" fontId="5" fillId="2" borderId="43" xfId="2" applyNumberFormat="1" applyFont="1" applyFill="1" applyBorder="1"/>
    <xf numFmtId="168" fontId="5" fillId="2" borderId="44" xfId="2" applyNumberFormat="1" applyFont="1" applyFill="1" applyBorder="1"/>
    <xf numFmtId="168" fontId="5" fillId="5" borderId="46" xfId="2" applyNumberFormat="1" applyFont="1" applyFill="1" applyBorder="1"/>
    <xf numFmtId="166" fontId="5" fillId="2" borderId="45" xfId="0" applyNumberFormat="1" applyFont="1" applyFill="1" applyBorder="1"/>
    <xf numFmtId="166" fontId="5" fillId="2" borderId="47" xfId="0" applyNumberFormat="1" applyFont="1" applyFill="1" applyBorder="1"/>
    <xf numFmtId="168" fontId="5" fillId="2" borderId="46" xfId="2" applyNumberFormat="1" applyFont="1" applyFill="1" applyBorder="1"/>
    <xf numFmtId="168" fontId="9" fillId="2" borderId="43" xfId="2" applyNumberFormat="1" applyFont="1" applyFill="1" applyBorder="1"/>
    <xf numFmtId="166" fontId="5" fillId="2" borderId="44" xfId="0" applyNumberFormat="1" applyFont="1" applyFill="1" applyBorder="1" applyAlignment="1">
      <alignment horizontal="left" vertical="center"/>
    </xf>
    <xf numFmtId="166" fontId="5" fillId="2" borderId="49" xfId="0" applyNumberFormat="1" applyFont="1" applyFill="1" applyBorder="1" applyAlignment="1">
      <alignment horizontal="left" vertical="center"/>
    </xf>
    <xf numFmtId="168" fontId="5" fillId="2" borderId="50" xfId="2" applyNumberFormat="1" applyFont="1" applyFill="1" applyBorder="1"/>
    <xf numFmtId="168" fontId="5" fillId="2" borderId="48" xfId="2" applyNumberFormat="1" applyFont="1" applyFill="1" applyBorder="1"/>
    <xf numFmtId="168" fontId="5" fillId="2" borderId="49" xfId="2" applyNumberFormat="1" applyFont="1" applyFill="1" applyBorder="1"/>
    <xf numFmtId="168" fontId="5" fillId="5" borderId="51" xfId="2" applyNumberFormat="1" applyFont="1" applyFill="1" applyBorder="1"/>
    <xf numFmtId="166" fontId="5" fillId="2" borderId="50" xfId="0" applyNumberFormat="1" applyFont="1" applyFill="1" applyBorder="1"/>
    <xf numFmtId="166" fontId="5" fillId="2" borderId="52" xfId="0" applyNumberFormat="1" applyFont="1" applyFill="1" applyBorder="1"/>
    <xf numFmtId="168" fontId="5" fillId="2" borderId="51" xfId="2" applyNumberFormat="1" applyFont="1" applyFill="1" applyBorder="1"/>
    <xf numFmtId="168" fontId="9" fillId="2" borderId="48" xfId="2" applyNumberFormat="1" applyFont="1" applyFill="1" applyBorder="1"/>
    <xf numFmtId="166" fontId="0" fillId="2" borderId="38" xfId="0" applyNumberFormat="1" applyFont="1" applyFill="1" applyBorder="1"/>
    <xf numFmtId="166" fontId="1" fillId="5" borderId="38" xfId="0" applyNumberFormat="1" applyFont="1" applyFill="1" applyBorder="1" applyAlignment="1">
      <alignment horizontal="center" vertical="center" wrapText="1"/>
    </xf>
    <xf numFmtId="166" fontId="0" fillId="2" borderId="43" xfId="0" applyNumberFormat="1" applyFont="1" applyFill="1" applyBorder="1"/>
    <xf numFmtId="166" fontId="1" fillId="5" borderId="43" xfId="0" applyNumberFormat="1" applyFont="1" applyFill="1" applyBorder="1" applyAlignment="1">
      <alignment horizontal="center" vertical="center" wrapText="1"/>
    </xf>
    <xf numFmtId="166" fontId="0" fillId="2" borderId="43" xfId="0" applyNumberFormat="1" applyFont="1" applyFill="1" applyBorder="1" applyAlignment="1">
      <alignment horizontal="left" vertical="center"/>
    </xf>
    <xf numFmtId="166" fontId="0" fillId="2" borderId="48" xfId="0" applyNumberFormat="1" applyFont="1" applyFill="1" applyBorder="1" applyAlignment="1">
      <alignment horizontal="left" vertical="center"/>
    </xf>
    <xf numFmtId="166" fontId="0" fillId="2" borderId="48" xfId="0" applyNumberFormat="1" applyFont="1" applyFill="1" applyBorder="1"/>
    <xf numFmtId="166" fontId="1" fillId="5" borderId="48" xfId="0" applyNumberFormat="1" applyFont="1" applyFill="1" applyBorder="1" applyAlignment="1">
      <alignment horizontal="center" vertical="center" wrapText="1"/>
    </xf>
    <xf numFmtId="166" fontId="0" fillId="5" borderId="38" xfId="0" applyNumberFormat="1" applyFont="1" applyFill="1" applyBorder="1"/>
    <xf numFmtId="166" fontId="0" fillId="5" borderId="43" xfId="0" applyNumberFormat="1" applyFont="1" applyFill="1" applyBorder="1"/>
    <xf numFmtId="166" fontId="0" fillId="9" borderId="43" xfId="0" applyNumberFormat="1" applyFont="1" applyFill="1" applyBorder="1"/>
    <xf numFmtId="166" fontId="0" fillId="5" borderId="48" xfId="0" applyNumberFormat="1" applyFont="1" applyFill="1" applyBorder="1"/>
    <xf numFmtId="0" fontId="0" fillId="2" borderId="38" xfId="0" applyFont="1" applyFill="1" applyBorder="1" applyAlignment="1">
      <alignment wrapText="1"/>
    </xf>
    <xf numFmtId="6" fontId="0" fillId="2" borderId="38" xfId="0" applyNumberFormat="1" applyFont="1" applyFill="1" applyBorder="1" applyAlignment="1">
      <alignment wrapText="1"/>
    </xf>
    <xf numFmtId="0" fontId="0" fillId="2" borderId="43" xfId="0" applyFont="1" applyFill="1" applyBorder="1" applyAlignment="1">
      <alignment wrapText="1"/>
    </xf>
    <xf numFmtId="6" fontId="0" fillId="2" borderId="43" xfId="0" applyNumberFormat="1" applyFont="1" applyFill="1" applyBorder="1" applyAlignment="1">
      <alignment wrapText="1"/>
    </xf>
    <xf numFmtId="0" fontId="0" fillId="2" borderId="48" xfId="0" applyFont="1" applyFill="1" applyBorder="1" applyAlignment="1">
      <alignment wrapText="1"/>
    </xf>
    <xf numFmtId="6" fontId="0" fillId="2" borderId="48" xfId="0" applyNumberFormat="1" applyFont="1" applyFill="1" applyBorder="1" applyAlignment="1">
      <alignment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wrapText="1"/>
    </xf>
    <xf numFmtId="167" fontId="0" fillId="3" borderId="3" xfId="1" applyNumberFormat="1" applyFont="1" applyFill="1" applyBorder="1" applyAlignment="1">
      <alignment wrapText="1"/>
    </xf>
    <xf numFmtId="166" fontId="8" fillId="2" borderId="45" xfId="0" applyNumberFormat="1" applyFont="1" applyFill="1" applyBorder="1" applyAlignment="1">
      <alignment horizontal="left" vertical="center" wrapText="1"/>
    </xf>
    <xf numFmtId="166" fontId="8" fillId="2" borderId="50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166" fontId="8" fillId="2" borderId="53" xfId="0" applyNumberFormat="1" applyFont="1" applyFill="1" applyBorder="1" applyAlignment="1">
      <alignment horizontal="left" vertical="center"/>
    </xf>
    <xf numFmtId="166" fontId="8" fillId="2" borderId="54" xfId="0" applyNumberFormat="1" applyFont="1" applyFill="1" applyBorder="1" applyAlignment="1">
      <alignment horizontal="left" vertical="center"/>
    </xf>
    <xf numFmtId="166" fontId="8" fillId="2" borderId="45" xfId="0" applyNumberFormat="1" applyFont="1" applyFill="1" applyBorder="1" applyAlignment="1">
      <alignment horizontal="left" vertical="center"/>
    </xf>
    <xf numFmtId="166" fontId="8" fillId="2" borderId="44" xfId="0" applyNumberFormat="1" applyFont="1" applyFill="1" applyBorder="1" applyAlignment="1">
      <alignment horizontal="left" vertical="center"/>
    </xf>
    <xf numFmtId="166" fontId="10" fillId="3" borderId="29" xfId="0" applyNumberFormat="1" applyFont="1" applyFill="1" applyBorder="1" applyAlignment="1">
      <alignment horizontal="center"/>
    </xf>
    <xf numFmtId="166" fontId="10" fillId="3" borderId="28" xfId="0" applyNumberFormat="1" applyFont="1" applyFill="1" applyBorder="1" applyAlignment="1">
      <alignment horizontal="center"/>
    </xf>
    <xf numFmtId="166" fontId="10" fillId="3" borderId="30" xfId="0" applyNumberFormat="1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166" fontId="11" fillId="6" borderId="33" xfId="0" applyNumberFormat="1" applyFont="1" applyFill="1" applyBorder="1" applyAlignment="1">
      <alignment horizontal="center"/>
    </xf>
    <xf numFmtId="166" fontId="11" fillId="6" borderId="16" xfId="0" applyNumberFormat="1" applyFont="1" applyFill="1" applyBorder="1" applyAlignment="1">
      <alignment horizontal="center"/>
    </xf>
    <xf numFmtId="166" fontId="11" fillId="6" borderId="34" xfId="0" applyNumberFormat="1" applyFont="1" applyFill="1" applyBorder="1" applyAlignment="1">
      <alignment horizontal="center"/>
    </xf>
    <xf numFmtId="166" fontId="5" fillId="7" borderId="20" xfId="0" applyNumberFormat="1" applyFont="1" applyFill="1" applyBorder="1" applyAlignment="1">
      <alignment horizontal="center" vertical="center" wrapText="1"/>
    </xf>
    <xf numFmtId="166" fontId="5" fillId="7" borderId="21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166" fontId="10" fillId="3" borderId="24" xfId="0" applyNumberFormat="1" applyFont="1" applyFill="1" applyBorder="1" applyAlignment="1">
      <alignment horizontal="center"/>
    </xf>
    <xf numFmtId="166" fontId="10" fillId="3" borderId="25" xfId="0" applyNumberFormat="1" applyFont="1" applyFill="1" applyBorder="1" applyAlignment="1">
      <alignment horizontal="center"/>
    </xf>
    <xf numFmtId="166" fontId="10" fillId="3" borderId="26" xfId="0" applyNumberFormat="1" applyFont="1" applyFill="1" applyBorder="1" applyAlignment="1">
      <alignment horizontal="center"/>
    </xf>
    <xf numFmtId="166" fontId="10" fillId="3" borderId="27" xfId="0" applyNumberFormat="1" applyFont="1" applyFill="1" applyBorder="1" applyAlignment="1">
      <alignment horizontal="center"/>
    </xf>
    <xf numFmtId="166" fontId="0" fillId="2" borderId="6" xfId="0" applyNumberFormat="1" applyFont="1" applyFill="1" applyBorder="1" applyAlignment="1">
      <alignment horizontal="left" vertical="center" wrapText="1"/>
    </xf>
    <xf numFmtId="166" fontId="0" fillId="2" borderId="7" xfId="0" applyNumberFormat="1" applyFont="1" applyFill="1" applyBorder="1" applyAlignment="1">
      <alignment horizontal="left" vertical="center" wrapText="1"/>
    </xf>
    <xf numFmtId="166" fontId="1" fillId="2" borderId="5" xfId="0" applyNumberFormat="1" applyFont="1" applyFill="1" applyBorder="1" applyAlignment="1">
      <alignment horizontal="left" vertical="center"/>
    </xf>
    <xf numFmtId="166" fontId="0" fillId="3" borderId="4" xfId="0" applyNumberFormat="1" applyFont="1" applyFill="1" applyBorder="1" applyAlignment="1">
      <alignment horizontal="center"/>
    </xf>
    <xf numFmtId="166" fontId="0" fillId="3" borderId="2" xfId="0" applyNumberFormat="1" applyFont="1" applyFill="1" applyBorder="1" applyAlignment="1">
      <alignment horizontal="center"/>
    </xf>
    <xf numFmtId="166" fontId="4" fillId="6" borderId="1" xfId="0" applyNumberFormat="1" applyFont="1" applyFill="1" applyBorder="1" applyAlignment="1">
      <alignment horizontal="center"/>
    </xf>
    <xf numFmtId="166" fontId="4" fillId="6" borderId="4" xfId="0" applyNumberFormat="1" applyFont="1" applyFill="1" applyBorder="1" applyAlignment="1">
      <alignment horizontal="center"/>
    </xf>
    <xf numFmtId="166" fontId="4" fillId="6" borderId="2" xfId="0" applyNumberFormat="1" applyFont="1" applyFill="1" applyBorder="1" applyAlignment="1">
      <alignment horizontal="center"/>
    </xf>
    <xf numFmtId="166" fontId="0" fillId="7" borderId="1" xfId="0" applyNumberFormat="1" applyFont="1" applyFill="1" applyBorder="1" applyAlignment="1">
      <alignment horizontal="center" vertical="center" wrapText="1"/>
    </xf>
    <xf numFmtId="166" fontId="0" fillId="7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166" fontId="0" fillId="3" borderId="1" xfId="0" applyNumberFormat="1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left" vertical="center"/>
    </xf>
    <xf numFmtId="166" fontId="0" fillId="2" borderId="6" xfId="0" applyNumberFormat="1" applyFont="1" applyFill="1" applyBorder="1" applyAlignment="1">
      <alignment horizontal="left" vertical="center"/>
    </xf>
    <xf numFmtId="166" fontId="1" fillId="3" borderId="1" xfId="0" applyNumberFormat="1" applyFont="1" applyFill="1" applyBorder="1" applyAlignment="1">
      <alignment horizontal="center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66" fontId="12" fillId="6" borderId="1" xfId="0" applyNumberFormat="1" applyFont="1" applyFill="1" applyBorder="1" applyAlignment="1">
      <alignment horizontal="center"/>
    </xf>
    <xf numFmtId="166" fontId="12" fillId="6" borderId="4" xfId="0" applyNumberFormat="1" applyFont="1" applyFill="1" applyBorder="1" applyAlignment="1">
      <alignment horizontal="center"/>
    </xf>
    <xf numFmtId="166" fontId="12" fillId="6" borderId="2" xfId="0" applyNumberFormat="1" applyFont="1" applyFill="1" applyBorder="1" applyAlignment="1">
      <alignment horizontal="center"/>
    </xf>
    <xf numFmtId="166" fontId="0" fillId="3" borderId="3" xfId="0" applyNumberFormat="1" applyFont="1" applyFill="1" applyBorder="1" applyAlignment="1">
      <alignment horizontal="center"/>
    </xf>
    <xf numFmtId="166" fontId="0" fillId="7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/>
    </xf>
    <xf numFmtId="166" fontId="1" fillId="2" borderId="38" xfId="0" applyNumberFormat="1" applyFont="1" applyFill="1" applyBorder="1" applyAlignment="1">
      <alignment horizontal="left" vertical="center"/>
    </xf>
    <xf numFmtId="166" fontId="1" fillId="2" borderId="43" xfId="0" applyNumberFormat="1" applyFont="1" applyFill="1" applyBorder="1" applyAlignment="1">
      <alignment horizontal="left" vertical="center"/>
    </xf>
    <xf numFmtId="166" fontId="0" fillId="2" borderId="43" xfId="0" applyNumberFormat="1" applyFont="1" applyFill="1" applyBorder="1" applyAlignment="1">
      <alignment horizontal="left" vertical="center"/>
    </xf>
    <xf numFmtId="166" fontId="0" fillId="2" borderId="43" xfId="0" applyNumberFormat="1" applyFont="1" applyFill="1" applyBorder="1" applyAlignment="1">
      <alignment horizontal="left" vertical="center" wrapText="1"/>
    </xf>
    <xf numFmtId="166" fontId="0" fillId="2" borderId="48" xfId="0" applyNumberFormat="1" applyFont="1" applyFill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30"/>
  <sheetViews>
    <sheetView topLeftCell="A2" workbookViewId="0">
      <selection activeCell="I42" sqref="I42"/>
    </sheetView>
  </sheetViews>
  <sheetFormatPr baseColWidth="10" defaultColWidth="9.1640625" defaultRowHeight="11" x14ac:dyDescent="0.15"/>
  <cols>
    <col min="1" max="1" width="9.1640625" style="18"/>
    <col min="2" max="2" width="18.5" style="18" customWidth="1"/>
    <col min="3" max="3" width="24.1640625" style="18" bestFit="1" customWidth="1"/>
    <col min="4" max="4" width="14.1640625" style="18" customWidth="1"/>
    <col min="5" max="5" width="11.5" style="18" customWidth="1"/>
    <col min="6" max="6" width="9.83203125" style="18" bestFit="1" customWidth="1"/>
    <col min="7" max="8" width="12" style="18" customWidth="1"/>
    <col min="9" max="9" width="9.83203125" style="18" customWidth="1"/>
    <col min="10" max="10" width="9.1640625" style="18" bestFit="1"/>
    <col min="11" max="11" width="9.83203125" style="18" bestFit="1" customWidth="1"/>
    <col min="12" max="12" width="0.83203125" style="18" customWidth="1"/>
    <col min="13" max="13" width="10.83203125" style="18" bestFit="1" customWidth="1"/>
    <col min="14" max="14" width="11.1640625" style="18" bestFit="1" customWidth="1"/>
    <col min="15" max="15" width="8.5" style="18" bestFit="1" customWidth="1"/>
    <col min="16" max="16" width="0.6640625" style="18" customWidth="1"/>
    <col min="17" max="17" width="12.5" style="18" bestFit="1" customWidth="1"/>
    <col min="18" max="18" width="11.1640625" style="18" bestFit="1" customWidth="1"/>
    <col min="19" max="19" width="7.6640625" style="18" bestFit="1" customWidth="1"/>
    <col min="20" max="20" width="1" style="18" customWidth="1"/>
    <col min="21" max="21" width="24.5" style="18" customWidth="1"/>
    <col min="22" max="16384" width="9.1640625" style="18"/>
  </cols>
  <sheetData>
    <row r="6" spans="2:21" ht="12" thickBot="1" x14ac:dyDescent="0.2"/>
    <row r="7" spans="2:21" ht="14" thickBot="1" x14ac:dyDescent="0.2">
      <c r="D7" s="105" t="s">
        <v>25</v>
      </c>
      <c r="E7" s="106"/>
      <c r="F7" s="106"/>
      <c r="G7" s="106"/>
      <c r="H7" s="106"/>
      <c r="I7" s="106"/>
      <c r="J7" s="106"/>
      <c r="K7" s="107"/>
      <c r="L7" s="19"/>
      <c r="M7" s="105" t="s">
        <v>49</v>
      </c>
      <c r="N7" s="106"/>
      <c r="O7" s="107"/>
      <c r="P7" s="19"/>
      <c r="Q7" s="105" t="s">
        <v>26</v>
      </c>
      <c r="R7" s="106"/>
      <c r="S7" s="107"/>
      <c r="T7" s="20"/>
      <c r="U7" s="21" t="s">
        <v>27</v>
      </c>
    </row>
    <row r="8" spans="2:21" ht="12" thickBot="1" x14ac:dyDescent="0.2">
      <c r="D8" s="108" t="s">
        <v>28</v>
      </c>
      <c r="E8" s="109"/>
      <c r="F8" s="109"/>
      <c r="G8" s="109"/>
      <c r="H8" s="109"/>
      <c r="I8" s="109"/>
      <c r="J8" s="110"/>
      <c r="K8" s="111"/>
      <c r="L8" s="22"/>
      <c r="M8" s="112" t="s">
        <v>28</v>
      </c>
      <c r="N8" s="113"/>
      <c r="O8" s="114"/>
      <c r="P8" s="22"/>
      <c r="Q8" s="108" t="s">
        <v>28</v>
      </c>
      <c r="R8" s="115"/>
      <c r="S8" s="111"/>
      <c r="T8" s="22"/>
      <c r="U8" s="23" t="s">
        <v>28</v>
      </c>
    </row>
    <row r="9" spans="2:21" ht="29" thickBot="1" x14ac:dyDescent="0.2">
      <c r="B9" s="24"/>
      <c r="C9" s="24"/>
      <c r="D9" s="50" t="s">
        <v>16</v>
      </c>
      <c r="E9" s="51" t="s">
        <v>0</v>
      </c>
      <c r="F9" s="51" t="s">
        <v>17</v>
      </c>
      <c r="G9" s="51" t="s">
        <v>22</v>
      </c>
      <c r="H9" s="51" t="s">
        <v>23</v>
      </c>
      <c r="I9" s="51" t="s">
        <v>21</v>
      </c>
      <c r="J9" s="52" t="s">
        <v>18</v>
      </c>
      <c r="K9" s="52" t="s">
        <v>24</v>
      </c>
      <c r="L9" s="53"/>
      <c r="M9" s="54" t="s">
        <v>29</v>
      </c>
      <c r="N9" s="55" t="s">
        <v>30</v>
      </c>
      <c r="O9" s="52" t="s">
        <v>24</v>
      </c>
      <c r="P9" s="53"/>
      <c r="Q9" s="50" t="s">
        <v>31</v>
      </c>
      <c r="R9" s="50" t="s">
        <v>32</v>
      </c>
      <c r="S9" s="52" t="s">
        <v>24</v>
      </c>
      <c r="T9" s="53"/>
      <c r="U9" s="52" t="s">
        <v>24</v>
      </c>
    </row>
    <row r="10" spans="2:21" ht="14" x14ac:dyDescent="0.15">
      <c r="B10" s="116" t="s">
        <v>1</v>
      </c>
      <c r="C10" s="117"/>
      <c r="D10" s="56">
        <v>144623</v>
      </c>
      <c r="E10" s="57">
        <v>80749.959999999977</v>
      </c>
      <c r="F10" s="57">
        <v>122871.52999999996</v>
      </c>
      <c r="G10" s="57">
        <v>58244.830000000009</v>
      </c>
      <c r="H10" s="57">
        <v>11413.16</v>
      </c>
      <c r="I10" s="57"/>
      <c r="J10" s="58">
        <v>158287.91000000006</v>
      </c>
      <c r="K10" s="58">
        <f t="shared" ref="K10:K25" si="0">D10+E10+F10+G10+H10+I10+J10</f>
        <v>576190.39</v>
      </c>
      <c r="L10" s="59"/>
      <c r="M10" s="60"/>
      <c r="N10" s="61"/>
      <c r="O10" s="58">
        <f t="shared" ref="O10:O26" si="1">SUM(M10:N10)</f>
        <v>0</v>
      </c>
      <c r="P10" s="59"/>
      <c r="Q10" s="56">
        <v>50123.569999999992</v>
      </c>
      <c r="R10" s="62"/>
      <c r="S10" s="58">
        <f>SUM(Q10:R10)</f>
        <v>50123.569999999992</v>
      </c>
      <c r="T10" s="59"/>
      <c r="U10" s="63">
        <f>K10+O10+S10</f>
        <v>626313.96</v>
      </c>
    </row>
    <row r="11" spans="2:21" ht="14" x14ac:dyDescent="0.15">
      <c r="B11" s="118" t="s">
        <v>2</v>
      </c>
      <c r="C11" s="119"/>
      <c r="D11" s="64">
        <v>37061.129999999976</v>
      </c>
      <c r="E11" s="65">
        <v>13988.56</v>
      </c>
      <c r="F11" s="65">
        <v>12058.439999999999</v>
      </c>
      <c r="G11" s="65">
        <v>23344.290000000015</v>
      </c>
      <c r="H11" s="65">
        <v>1335.3300000000002</v>
      </c>
      <c r="I11" s="65"/>
      <c r="J11" s="66">
        <v>17738.080000000002</v>
      </c>
      <c r="K11" s="66">
        <f t="shared" si="0"/>
        <v>105525.82999999999</v>
      </c>
      <c r="L11" s="67"/>
      <c r="M11" s="68"/>
      <c r="N11" s="69"/>
      <c r="O11" s="66">
        <f t="shared" si="1"/>
        <v>0</v>
      </c>
      <c r="P11" s="67"/>
      <c r="Q11" s="64">
        <v>2889.8500000000004</v>
      </c>
      <c r="R11" s="70"/>
      <c r="S11" s="66">
        <f t="shared" ref="S11:S28" si="2">SUM(Q11:R11)</f>
        <v>2889.8500000000004</v>
      </c>
      <c r="T11" s="67"/>
      <c r="U11" s="71">
        <f t="shared" ref="U11:U25" si="3">K11+O11+S11</f>
        <v>108415.67999999999</v>
      </c>
    </row>
    <row r="12" spans="2:21" ht="14" x14ac:dyDescent="0.15">
      <c r="B12" s="118" t="s">
        <v>3</v>
      </c>
      <c r="C12" s="119"/>
      <c r="D12" s="64">
        <v>14781.07</v>
      </c>
      <c r="E12" s="65">
        <v>10304.460000000001</v>
      </c>
      <c r="F12" s="65">
        <v>40569.159999999989</v>
      </c>
      <c r="G12" s="65">
        <v>8978.32</v>
      </c>
      <c r="H12" s="65">
        <v>42.77</v>
      </c>
      <c r="I12" s="65"/>
      <c r="J12" s="66">
        <v>5221.170000000001</v>
      </c>
      <c r="K12" s="66">
        <f t="shared" si="0"/>
        <v>79896.949999999983</v>
      </c>
      <c r="L12" s="67"/>
      <c r="M12" s="68"/>
      <c r="N12" s="69"/>
      <c r="O12" s="66">
        <f t="shared" si="1"/>
        <v>0</v>
      </c>
      <c r="P12" s="67"/>
      <c r="Q12" s="64">
        <v>482.09999999999997</v>
      </c>
      <c r="R12" s="70"/>
      <c r="S12" s="66">
        <f t="shared" si="2"/>
        <v>482.09999999999997</v>
      </c>
      <c r="T12" s="67"/>
      <c r="U12" s="71">
        <f t="shared" si="3"/>
        <v>80379.049999999988</v>
      </c>
    </row>
    <row r="13" spans="2:21" ht="14" x14ac:dyDescent="0.15">
      <c r="B13" s="118" t="s">
        <v>33</v>
      </c>
      <c r="C13" s="119"/>
      <c r="D13" s="64">
        <v>68732.50999999998</v>
      </c>
      <c r="E13" s="65">
        <v>27679.649999999994</v>
      </c>
      <c r="F13" s="65">
        <v>29880.600000000006</v>
      </c>
      <c r="G13" s="65">
        <v>8697.4300000000039</v>
      </c>
      <c r="H13" s="65">
        <v>1618.57</v>
      </c>
      <c r="I13" s="65"/>
      <c r="J13" s="66">
        <v>11110.740000000002</v>
      </c>
      <c r="K13" s="66">
        <f t="shared" si="0"/>
        <v>147719.49999999997</v>
      </c>
      <c r="L13" s="67"/>
      <c r="M13" s="68"/>
      <c r="N13" s="69"/>
      <c r="O13" s="66">
        <f t="shared" si="1"/>
        <v>0</v>
      </c>
      <c r="P13" s="67"/>
      <c r="Q13" s="64">
        <v>4455.949999999998</v>
      </c>
      <c r="R13" s="70">
        <v>5381.1100000000006</v>
      </c>
      <c r="S13" s="66">
        <f t="shared" si="2"/>
        <v>9837.0599999999977</v>
      </c>
      <c r="T13" s="67"/>
      <c r="U13" s="71">
        <f t="shared" si="3"/>
        <v>157556.55999999997</v>
      </c>
    </row>
    <row r="14" spans="2:21" ht="12" x14ac:dyDescent="0.15">
      <c r="B14" s="118" t="s">
        <v>5</v>
      </c>
      <c r="C14" s="72" t="s">
        <v>6</v>
      </c>
      <c r="D14" s="64">
        <v>342.93</v>
      </c>
      <c r="E14" s="65"/>
      <c r="F14" s="65">
        <v>136.62</v>
      </c>
      <c r="G14" s="65"/>
      <c r="H14" s="65"/>
      <c r="I14" s="65"/>
      <c r="J14" s="66"/>
      <c r="K14" s="66">
        <f t="shared" si="0"/>
        <v>479.55</v>
      </c>
      <c r="L14" s="67"/>
      <c r="M14" s="68"/>
      <c r="N14" s="69"/>
      <c r="O14" s="66">
        <f t="shared" si="1"/>
        <v>0</v>
      </c>
      <c r="P14" s="67"/>
      <c r="Q14" s="64"/>
      <c r="R14" s="70"/>
      <c r="S14" s="66">
        <f t="shared" si="2"/>
        <v>0</v>
      </c>
      <c r="T14" s="67"/>
      <c r="U14" s="71">
        <f t="shared" si="3"/>
        <v>479.55</v>
      </c>
    </row>
    <row r="15" spans="2:21" ht="12" x14ac:dyDescent="0.15">
      <c r="B15" s="118"/>
      <c r="C15" s="72" t="s">
        <v>7</v>
      </c>
      <c r="D15" s="64">
        <v>375.36</v>
      </c>
      <c r="E15" s="65"/>
      <c r="F15" s="65"/>
      <c r="G15" s="65"/>
      <c r="H15" s="65"/>
      <c r="I15" s="65"/>
      <c r="J15" s="66"/>
      <c r="K15" s="66">
        <f t="shared" si="0"/>
        <v>375.36</v>
      </c>
      <c r="L15" s="67"/>
      <c r="M15" s="68"/>
      <c r="N15" s="69"/>
      <c r="O15" s="66">
        <f t="shared" si="1"/>
        <v>0</v>
      </c>
      <c r="P15" s="67"/>
      <c r="Q15" s="64"/>
      <c r="R15" s="70"/>
      <c r="S15" s="66">
        <f t="shared" si="2"/>
        <v>0</v>
      </c>
      <c r="T15" s="67"/>
      <c r="U15" s="71">
        <f t="shared" si="3"/>
        <v>375.36</v>
      </c>
    </row>
    <row r="16" spans="2:21" ht="12" x14ac:dyDescent="0.15">
      <c r="B16" s="118"/>
      <c r="C16" s="72" t="s">
        <v>8</v>
      </c>
      <c r="D16" s="64"/>
      <c r="E16" s="65">
        <v>3018.170000000001</v>
      </c>
      <c r="F16" s="65"/>
      <c r="G16" s="65"/>
      <c r="H16" s="65"/>
      <c r="I16" s="65"/>
      <c r="J16" s="66">
        <v>6827.24</v>
      </c>
      <c r="K16" s="66">
        <f t="shared" si="0"/>
        <v>9845.41</v>
      </c>
      <c r="L16" s="67"/>
      <c r="M16" s="68"/>
      <c r="N16" s="69"/>
      <c r="O16" s="66">
        <f t="shared" si="1"/>
        <v>0</v>
      </c>
      <c r="P16" s="67"/>
      <c r="Q16" s="64"/>
      <c r="R16" s="70"/>
      <c r="S16" s="66">
        <f t="shared" si="2"/>
        <v>0</v>
      </c>
      <c r="T16" s="67"/>
      <c r="U16" s="71">
        <f t="shared" si="3"/>
        <v>9845.41</v>
      </c>
    </row>
    <row r="17" spans="2:21" ht="12" x14ac:dyDescent="0.15">
      <c r="B17" s="118"/>
      <c r="C17" s="72" t="s">
        <v>9</v>
      </c>
      <c r="D17" s="64"/>
      <c r="E17" s="65">
        <v>7664.1999999999989</v>
      </c>
      <c r="F17" s="65">
        <v>4194.04</v>
      </c>
      <c r="G17" s="65">
        <v>6759.8600000000015</v>
      </c>
      <c r="H17" s="65"/>
      <c r="I17" s="65"/>
      <c r="J17" s="66"/>
      <c r="K17" s="66">
        <f t="shared" si="0"/>
        <v>18618.099999999999</v>
      </c>
      <c r="L17" s="67"/>
      <c r="M17" s="68"/>
      <c r="N17" s="69"/>
      <c r="O17" s="66">
        <f t="shared" si="1"/>
        <v>0</v>
      </c>
      <c r="P17" s="67"/>
      <c r="Q17" s="64"/>
      <c r="R17" s="70"/>
      <c r="S17" s="66">
        <f t="shared" si="2"/>
        <v>0</v>
      </c>
      <c r="T17" s="67"/>
      <c r="U17" s="71">
        <f t="shared" si="3"/>
        <v>18618.099999999999</v>
      </c>
    </row>
    <row r="18" spans="2:21" ht="12" x14ac:dyDescent="0.15">
      <c r="B18" s="118"/>
      <c r="C18" s="72" t="s">
        <v>10</v>
      </c>
      <c r="D18" s="64"/>
      <c r="E18" s="65"/>
      <c r="F18" s="65"/>
      <c r="G18" s="65"/>
      <c r="H18" s="65"/>
      <c r="I18" s="65"/>
      <c r="J18" s="66">
        <v>3072</v>
      </c>
      <c r="K18" s="66">
        <f t="shared" si="0"/>
        <v>3072</v>
      </c>
      <c r="L18" s="67"/>
      <c r="M18" s="68"/>
      <c r="N18" s="69"/>
      <c r="O18" s="66">
        <f t="shared" si="1"/>
        <v>0</v>
      </c>
      <c r="P18" s="67"/>
      <c r="Q18" s="64">
        <v>1067.07</v>
      </c>
      <c r="R18" s="70"/>
      <c r="S18" s="66">
        <f t="shared" si="2"/>
        <v>1067.07</v>
      </c>
      <c r="T18" s="67"/>
      <c r="U18" s="71">
        <f t="shared" si="3"/>
        <v>4139.07</v>
      </c>
    </row>
    <row r="19" spans="2:21" ht="12" x14ac:dyDescent="0.15">
      <c r="B19" s="118"/>
      <c r="C19" s="72" t="s">
        <v>11</v>
      </c>
      <c r="D19" s="64">
        <v>20416.539999999997</v>
      </c>
      <c r="E19" s="65">
        <v>21539.740000000005</v>
      </c>
      <c r="F19" s="65">
        <v>43926.95000000007</v>
      </c>
      <c r="G19" s="65"/>
      <c r="H19" s="65"/>
      <c r="I19" s="65"/>
      <c r="J19" s="66"/>
      <c r="K19" s="66">
        <f t="shared" si="0"/>
        <v>85883.230000000069</v>
      </c>
      <c r="L19" s="67"/>
      <c r="M19" s="68">
        <f>125000/1.2098</f>
        <v>103322.86328318731</v>
      </c>
      <c r="N19" s="69">
        <f>M19</f>
        <v>103322.86328318731</v>
      </c>
      <c r="O19" s="66">
        <f t="shared" si="1"/>
        <v>206645.72656637462</v>
      </c>
      <c r="P19" s="67"/>
      <c r="Q19" s="64"/>
      <c r="R19" s="70"/>
      <c r="S19" s="66">
        <f t="shared" si="2"/>
        <v>0</v>
      </c>
      <c r="T19" s="67"/>
      <c r="U19" s="71">
        <f t="shared" si="3"/>
        <v>292528.95656637469</v>
      </c>
    </row>
    <row r="20" spans="2:21" ht="12" x14ac:dyDescent="0.15">
      <c r="B20" s="103" t="s">
        <v>12</v>
      </c>
      <c r="C20" s="72" t="s">
        <v>6</v>
      </c>
      <c r="D20" s="64"/>
      <c r="E20" s="65"/>
      <c r="F20" s="65"/>
      <c r="G20" s="65"/>
      <c r="H20" s="65"/>
      <c r="I20" s="65"/>
      <c r="J20" s="66"/>
      <c r="K20" s="66">
        <f t="shared" si="0"/>
        <v>0</v>
      </c>
      <c r="L20" s="67"/>
      <c r="M20" s="68"/>
      <c r="N20" s="69"/>
      <c r="O20" s="66">
        <f t="shared" si="1"/>
        <v>0</v>
      </c>
      <c r="P20" s="67"/>
      <c r="Q20" s="64"/>
      <c r="R20" s="70"/>
      <c r="S20" s="66">
        <f t="shared" si="2"/>
        <v>0</v>
      </c>
      <c r="T20" s="67"/>
      <c r="U20" s="71">
        <f t="shared" si="3"/>
        <v>0</v>
      </c>
    </row>
    <row r="21" spans="2:21" ht="12" x14ac:dyDescent="0.15">
      <c r="B21" s="103"/>
      <c r="C21" s="72" t="s">
        <v>7</v>
      </c>
      <c r="D21" s="64"/>
      <c r="E21" s="65"/>
      <c r="F21" s="65"/>
      <c r="G21" s="65"/>
      <c r="H21" s="65"/>
      <c r="I21" s="65"/>
      <c r="J21" s="66"/>
      <c r="K21" s="66">
        <f t="shared" si="0"/>
        <v>0</v>
      </c>
      <c r="L21" s="67"/>
      <c r="M21" s="68"/>
      <c r="N21" s="69"/>
      <c r="O21" s="66">
        <f t="shared" si="1"/>
        <v>0</v>
      </c>
      <c r="P21" s="67"/>
      <c r="Q21" s="64"/>
      <c r="R21" s="70"/>
      <c r="S21" s="66">
        <f t="shared" si="2"/>
        <v>0</v>
      </c>
      <c r="T21" s="67"/>
      <c r="U21" s="71">
        <f t="shared" si="3"/>
        <v>0</v>
      </c>
    </row>
    <row r="22" spans="2:21" ht="12" x14ac:dyDescent="0.15">
      <c r="B22" s="103"/>
      <c r="C22" s="72" t="s">
        <v>8</v>
      </c>
      <c r="D22" s="64"/>
      <c r="E22" s="65"/>
      <c r="F22" s="65"/>
      <c r="G22" s="65"/>
      <c r="H22" s="65"/>
      <c r="I22" s="65"/>
      <c r="J22" s="66"/>
      <c r="K22" s="66">
        <f t="shared" si="0"/>
        <v>0</v>
      </c>
      <c r="L22" s="67"/>
      <c r="M22" s="68"/>
      <c r="N22" s="69"/>
      <c r="O22" s="66">
        <f t="shared" si="1"/>
        <v>0</v>
      </c>
      <c r="P22" s="67"/>
      <c r="Q22" s="64"/>
      <c r="R22" s="70"/>
      <c r="S22" s="66">
        <f t="shared" si="2"/>
        <v>0</v>
      </c>
      <c r="T22" s="67"/>
      <c r="U22" s="71">
        <f t="shared" si="3"/>
        <v>0</v>
      </c>
    </row>
    <row r="23" spans="2:21" ht="12" x14ac:dyDescent="0.15">
      <c r="B23" s="103"/>
      <c r="C23" s="72" t="s">
        <v>9</v>
      </c>
      <c r="D23" s="64">
        <v>389868.30999999994</v>
      </c>
      <c r="E23" s="65">
        <v>214870.62</v>
      </c>
      <c r="F23" s="65">
        <v>152661.25999999998</v>
      </c>
      <c r="G23" s="65">
        <v>214524.32</v>
      </c>
      <c r="H23" s="65">
        <v>0</v>
      </c>
      <c r="I23" s="65"/>
      <c r="J23" s="66"/>
      <c r="K23" s="66">
        <f t="shared" si="0"/>
        <v>971924.51</v>
      </c>
      <c r="L23" s="67"/>
      <c r="M23" s="68"/>
      <c r="N23" s="69"/>
      <c r="O23" s="66">
        <f t="shared" si="1"/>
        <v>0</v>
      </c>
      <c r="P23" s="67"/>
      <c r="Q23" s="64">
        <v>4321.5700000000006</v>
      </c>
      <c r="R23" s="70"/>
      <c r="S23" s="66">
        <f t="shared" si="2"/>
        <v>4321.5700000000006</v>
      </c>
      <c r="T23" s="67"/>
      <c r="U23" s="71">
        <f t="shared" si="3"/>
        <v>976246.08</v>
      </c>
    </row>
    <row r="24" spans="2:21" ht="12" x14ac:dyDescent="0.15">
      <c r="B24" s="103"/>
      <c r="C24" s="72" t="s">
        <v>10</v>
      </c>
      <c r="D24" s="64"/>
      <c r="E24" s="65"/>
      <c r="F24" s="65"/>
      <c r="G24" s="65"/>
      <c r="H24" s="65"/>
      <c r="I24" s="65"/>
      <c r="J24" s="66"/>
      <c r="K24" s="66">
        <f t="shared" si="0"/>
        <v>0</v>
      </c>
      <c r="L24" s="67"/>
      <c r="M24" s="68"/>
      <c r="N24" s="69"/>
      <c r="O24" s="66">
        <f t="shared" si="1"/>
        <v>0</v>
      </c>
      <c r="P24" s="67"/>
      <c r="Q24" s="64"/>
      <c r="R24" s="70"/>
      <c r="S24" s="66">
        <f t="shared" si="2"/>
        <v>0</v>
      </c>
      <c r="T24" s="67"/>
      <c r="U24" s="71">
        <f t="shared" si="3"/>
        <v>0</v>
      </c>
    </row>
    <row r="25" spans="2:21" ht="12" x14ac:dyDescent="0.15">
      <c r="B25" s="104"/>
      <c r="C25" s="73" t="s">
        <v>11</v>
      </c>
      <c r="D25" s="74"/>
      <c r="E25" s="75"/>
      <c r="F25" s="75"/>
      <c r="G25" s="75"/>
      <c r="H25" s="75"/>
      <c r="I25" s="75"/>
      <c r="J25" s="76"/>
      <c r="K25" s="76">
        <f t="shared" si="0"/>
        <v>0</v>
      </c>
      <c r="L25" s="77"/>
      <c r="M25" s="78"/>
      <c r="N25" s="79"/>
      <c r="O25" s="76">
        <f t="shared" si="1"/>
        <v>0</v>
      </c>
      <c r="P25" s="77"/>
      <c r="Q25" s="74"/>
      <c r="R25" s="80"/>
      <c r="S25" s="76">
        <f t="shared" si="2"/>
        <v>0</v>
      </c>
      <c r="T25" s="77"/>
      <c r="U25" s="81">
        <f t="shared" si="3"/>
        <v>0</v>
      </c>
    </row>
    <row r="26" spans="2:21" ht="12" x14ac:dyDescent="0.15">
      <c r="B26" s="128" t="s">
        <v>14</v>
      </c>
      <c r="C26" s="129"/>
      <c r="D26" s="29">
        <f>SUM(D10:D25)</f>
        <v>676200.84999999986</v>
      </c>
      <c r="E26" s="30">
        <f>SUM(E10:E25)</f>
        <v>379815.36</v>
      </c>
      <c r="F26" s="30">
        <f>SUM(F10:F25)</f>
        <v>406298.6</v>
      </c>
      <c r="G26" s="30">
        <f>SUM(G10:G25)</f>
        <v>320549.05000000005</v>
      </c>
      <c r="H26" s="30">
        <f>SUM(H10:H25)</f>
        <v>14409.83</v>
      </c>
      <c r="I26" s="30"/>
      <c r="J26" s="31">
        <f>SUM(J10:J25)</f>
        <v>202257.14000000004</v>
      </c>
      <c r="K26" s="31">
        <f>SUM(K10:K25)</f>
        <v>1999530.83</v>
      </c>
      <c r="L26" s="28"/>
      <c r="M26" s="29">
        <f>SUM(M10:M25)</f>
        <v>103322.86328318731</v>
      </c>
      <c r="N26" s="30">
        <f>SUM(N10:N25)</f>
        <v>103322.86328318731</v>
      </c>
      <c r="O26" s="31">
        <f t="shared" si="1"/>
        <v>206645.72656637462</v>
      </c>
      <c r="P26" s="28"/>
      <c r="Q26" s="29">
        <f>SUM(Q10:Q25)</f>
        <v>63340.109999999986</v>
      </c>
      <c r="R26" s="29">
        <f>SUM(R10:R25)</f>
        <v>5381.1100000000006</v>
      </c>
      <c r="S26" s="31">
        <f t="shared" si="2"/>
        <v>68721.219999999987</v>
      </c>
      <c r="T26" s="28"/>
      <c r="U26" s="32">
        <f>SUM(U10:U25)</f>
        <v>2274897.7765663746</v>
      </c>
    </row>
    <row r="27" spans="2:21" ht="14" x14ac:dyDescent="0.15">
      <c r="B27" s="130" t="s">
        <v>13</v>
      </c>
      <c r="C27" s="131"/>
      <c r="D27" s="25">
        <f>D26*20.98%</f>
        <v>141866.93832999998</v>
      </c>
      <c r="E27" s="26">
        <f>E26*20.98%</f>
        <v>79685.262528000007</v>
      </c>
      <c r="F27" s="26">
        <f>F26*20.98%</f>
        <v>85241.446280000004</v>
      </c>
      <c r="G27" s="26">
        <f>G26*20.98%</f>
        <v>67251.190690000018</v>
      </c>
      <c r="H27" s="26">
        <f>H26*20.98%</f>
        <v>3023.1823340000001</v>
      </c>
      <c r="I27" s="26"/>
      <c r="J27" s="27">
        <f>J26*20.98%</f>
        <v>42433.547972000015</v>
      </c>
      <c r="K27" s="27">
        <f>K26*20.98%</f>
        <v>419501.56813400006</v>
      </c>
      <c r="L27" s="28"/>
      <c r="M27" s="25">
        <f>M26*20.98%</f>
        <v>21677.1367168127</v>
      </c>
      <c r="N27" s="26">
        <f>N26*20.98%</f>
        <v>21677.1367168127</v>
      </c>
      <c r="O27" s="27">
        <f>O26*20.98%</f>
        <v>43354.2734336254</v>
      </c>
      <c r="P27" s="28"/>
      <c r="Q27" s="25">
        <f>Q26*20.98%</f>
        <v>13288.755077999998</v>
      </c>
      <c r="R27" s="25">
        <f>R26*20.98%</f>
        <v>1128.9568780000002</v>
      </c>
      <c r="S27" s="27">
        <f t="shared" si="2"/>
        <v>14417.711955999999</v>
      </c>
      <c r="T27" s="28"/>
      <c r="U27" s="33">
        <f t="shared" ref="U27:U28" si="4">K27+O27+S27</f>
        <v>477273.55352362548</v>
      </c>
    </row>
    <row r="28" spans="2:21" ht="14" x14ac:dyDescent="0.15">
      <c r="B28" s="132" t="s">
        <v>15</v>
      </c>
      <c r="C28" s="133"/>
      <c r="D28" s="34">
        <f>D27+D26</f>
        <v>818067.78832999989</v>
      </c>
      <c r="E28" s="35">
        <f>E27+E26</f>
        <v>459500.62252799998</v>
      </c>
      <c r="F28" s="35">
        <f>F27+F26</f>
        <v>491540.04628000001</v>
      </c>
      <c r="G28" s="35">
        <f>G27+G26</f>
        <v>387800.24069000006</v>
      </c>
      <c r="H28" s="35">
        <f>H27+H26</f>
        <v>17433.012333999999</v>
      </c>
      <c r="I28" s="35"/>
      <c r="J28" s="36">
        <f>J27+J26</f>
        <v>244690.68797200004</v>
      </c>
      <c r="K28" s="36">
        <f>K27+K26</f>
        <v>2419032.3981340001</v>
      </c>
      <c r="L28" s="37"/>
      <c r="M28" s="34">
        <f>M27+M26</f>
        <v>125000.00000000001</v>
      </c>
      <c r="N28" s="35">
        <f>N27+N26</f>
        <v>125000.00000000001</v>
      </c>
      <c r="O28" s="36">
        <f>O27+O26</f>
        <v>250000.00000000003</v>
      </c>
      <c r="P28" s="37"/>
      <c r="Q28" s="34">
        <f>Q27+Q26</f>
        <v>76628.865077999988</v>
      </c>
      <c r="R28" s="34">
        <f>R27+R26</f>
        <v>6510.0668780000005</v>
      </c>
      <c r="S28" s="36">
        <f t="shared" si="2"/>
        <v>83138.931955999986</v>
      </c>
      <c r="T28" s="37"/>
      <c r="U28" s="38">
        <f t="shared" si="4"/>
        <v>2752171.3300900003</v>
      </c>
    </row>
    <row r="29" spans="2:21" s="41" customFormat="1" ht="15" thickBot="1" x14ac:dyDescent="0.2">
      <c r="B29" s="134" t="s">
        <v>19</v>
      </c>
      <c r="C29" s="135"/>
      <c r="D29" s="136">
        <f>K28</f>
        <v>2419032.3981340001</v>
      </c>
      <c r="E29" s="137"/>
      <c r="F29" s="137"/>
      <c r="G29" s="137"/>
      <c r="H29" s="137"/>
      <c r="I29" s="137"/>
      <c r="J29" s="138"/>
      <c r="K29" s="139"/>
      <c r="L29" s="39"/>
      <c r="M29" s="120">
        <f>SUM(M28:N28)</f>
        <v>250000.00000000003</v>
      </c>
      <c r="N29" s="121"/>
      <c r="O29" s="122"/>
      <c r="P29" s="39"/>
      <c r="Q29" s="120">
        <f>S28</f>
        <v>83138.931955999986</v>
      </c>
      <c r="R29" s="121"/>
      <c r="S29" s="122"/>
      <c r="T29" s="39"/>
      <c r="U29" s="40">
        <f>U28</f>
        <v>2752171.3300900003</v>
      </c>
    </row>
    <row r="30" spans="2:21" s="41" customFormat="1" ht="15" thickBot="1" x14ac:dyDescent="0.2">
      <c r="B30" s="123" t="s">
        <v>20</v>
      </c>
      <c r="C30" s="124"/>
      <c r="D30" s="125">
        <f>SUM(D29:S29)</f>
        <v>2752171.3300900003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7"/>
      <c r="U30" s="42"/>
    </row>
  </sheetData>
  <mergeCells count="21">
    <mergeCell ref="Q29:S29"/>
    <mergeCell ref="B30:C30"/>
    <mergeCell ref="D30:S30"/>
    <mergeCell ref="B26:C26"/>
    <mergeCell ref="B27:C27"/>
    <mergeCell ref="B28:C28"/>
    <mergeCell ref="B29:C29"/>
    <mergeCell ref="D29:K29"/>
    <mergeCell ref="M29:O29"/>
    <mergeCell ref="B20:B25"/>
    <mergeCell ref="D7:K7"/>
    <mergeCell ref="M7:O7"/>
    <mergeCell ref="Q7:S7"/>
    <mergeCell ref="D8:K8"/>
    <mergeCell ref="M8:O8"/>
    <mergeCell ref="Q8:S8"/>
    <mergeCell ref="B10:C10"/>
    <mergeCell ref="B11:C11"/>
    <mergeCell ref="B12:C12"/>
    <mergeCell ref="B13:C13"/>
    <mergeCell ref="B14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8:AH30"/>
  <sheetViews>
    <sheetView topLeftCell="A4" zoomScale="80" zoomScaleNormal="80" zoomScalePageLayoutView="80" workbookViewId="0">
      <pane xSplit="3" ySplit="6" topLeftCell="E10" activePane="bottomRight" state="frozen"/>
      <selection activeCell="A4" sqref="A4"/>
      <selection pane="topRight" activeCell="D4" sqref="D4"/>
      <selection pane="bottomLeft" activeCell="A10" sqref="A10"/>
      <selection pane="bottomRight" activeCell="H44" sqref="H44"/>
    </sheetView>
  </sheetViews>
  <sheetFormatPr baseColWidth="10" defaultColWidth="9.1640625" defaultRowHeight="15" x14ac:dyDescent="0.2"/>
  <cols>
    <col min="1" max="1" width="9.1640625" style="1"/>
    <col min="2" max="2" width="19.33203125" style="1" customWidth="1"/>
    <col min="3" max="3" width="33.83203125" style="1" bestFit="1" customWidth="1"/>
    <col min="4" max="4" width="14" style="1" customWidth="1"/>
    <col min="5" max="10" width="12.1640625" style="1" customWidth="1"/>
    <col min="11" max="11" width="0.6640625" style="1" customWidth="1"/>
    <col min="12" max="18" width="12.1640625" style="1" customWidth="1"/>
    <col min="19" max="19" width="0.6640625" style="1" customWidth="1"/>
    <col min="20" max="26" width="12.1640625" style="1" customWidth="1"/>
    <col min="27" max="27" width="0.6640625" style="1" customWidth="1"/>
    <col min="28" max="34" width="12.1640625" style="1" customWidth="1"/>
    <col min="35" max="16384" width="9.1640625" style="1"/>
  </cols>
  <sheetData>
    <row r="8" spans="2:34" s="9" customFormat="1" x14ac:dyDescent="0.2">
      <c r="B8" s="160"/>
      <c r="C8" s="162"/>
      <c r="D8" s="160">
        <v>2018</v>
      </c>
      <c r="E8" s="161"/>
      <c r="F8" s="161"/>
      <c r="G8" s="161"/>
      <c r="H8" s="161"/>
      <c r="I8" s="161"/>
      <c r="J8" s="162"/>
      <c r="K8" s="10"/>
      <c r="L8" s="151">
        <v>2019</v>
      </c>
      <c r="M8" s="151"/>
      <c r="N8" s="151"/>
      <c r="O8" s="151"/>
      <c r="P8" s="151"/>
      <c r="Q8" s="151"/>
      <c r="R8" s="151"/>
      <c r="S8" s="10"/>
      <c r="T8" s="151">
        <v>2020</v>
      </c>
      <c r="U8" s="151"/>
      <c r="V8" s="151"/>
      <c r="W8" s="151"/>
      <c r="X8" s="151"/>
      <c r="Y8" s="151"/>
      <c r="Z8" s="151"/>
      <c r="AA8" s="10"/>
      <c r="AB8" s="151">
        <v>2021</v>
      </c>
      <c r="AC8" s="151"/>
      <c r="AD8" s="151"/>
      <c r="AE8" s="151"/>
      <c r="AF8" s="151"/>
      <c r="AG8" s="151"/>
      <c r="AH8" s="151"/>
    </row>
    <row r="9" spans="2:34" ht="30" x14ac:dyDescent="0.2">
      <c r="B9" s="158"/>
      <c r="C9" s="159"/>
      <c r="D9" s="2" t="s">
        <v>16</v>
      </c>
      <c r="E9" s="2" t="s">
        <v>0</v>
      </c>
      <c r="F9" s="2" t="s">
        <v>17</v>
      </c>
      <c r="G9" s="2" t="s">
        <v>22</v>
      </c>
      <c r="H9" s="2" t="s">
        <v>23</v>
      </c>
      <c r="I9" s="2" t="s">
        <v>21</v>
      </c>
      <c r="J9" s="2" t="s">
        <v>18</v>
      </c>
      <c r="K9" s="3"/>
      <c r="L9" s="2" t="s">
        <v>16</v>
      </c>
      <c r="M9" s="2" t="s">
        <v>0</v>
      </c>
      <c r="N9" s="2" t="s">
        <v>17</v>
      </c>
      <c r="O9" s="2" t="s">
        <v>22</v>
      </c>
      <c r="P9" s="2" t="s">
        <v>23</v>
      </c>
      <c r="Q9" s="2" t="s">
        <v>21</v>
      </c>
      <c r="R9" s="2" t="s">
        <v>18</v>
      </c>
      <c r="S9" s="3"/>
      <c r="T9" s="2" t="s">
        <v>16</v>
      </c>
      <c r="U9" s="2" t="s">
        <v>0</v>
      </c>
      <c r="V9" s="2" t="s">
        <v>17</v>
      </c>
      <c r="W9" s="2" t="s">
        <v>22</v>
      </c>
      <c r="X9" s="2" t="s">
        <v>23</v>
      </c>
      <c r="Y9" s="2" t="s">
        <v>21</v>
      </c>
      <c r="Z9" s="2" t="s">
        <v>18</v>
      </c>
      <c r="AA9" s="3"/>
      <c r="AB9" s="2" t="s">
        <v>16</v>
      </c>
      <c r="AC9" s="2" t="s">
        <v>0</v>
      </c>
      <c r="AD9" s="2" t="s">
        <v>17</v>
      </c>
      <c r="AE9" s="2" t="s">
        <v>22</v>
      </c>
      <c r="AF9" s="2" t="s">
        <v>23</v>
      </c>
      <c r="AG9" s="2" t="s">
        <v>21</v>
      </c>
      <c r="AH9" s="2" t="s">
        <v>18</v>
      </c>
    </row>
    <row r="10" spans="2:34" x14ac:dyDescent="0.2">
      <c r="B10" s="142" t="s">
        <v>1</v>
      </c>
      <c r="C10" s="142"/>
      <c r="D10" s="14">
        <v>144623</v>
      </c>
      <c r="E10" s="14">
        <v>80749.959999999977</v>
      </c>
      <c r="F10" s="14">
        <v>122871.52999999996</v>
      </c>
      <c r="G10" s="14">
        <v>58244.830000000009</v>
      </c>
      <c r="H10" s="14">
        <v>11413.16</v>
      </c>
      <c r="I10" s="14">
        <v>0</v>
      </c>
      <c r="J10" s="14">
        <v>158287.91000000006</v>
      </c>
      <c r="K10" s="4"/>
      <c r="L10" s="14">
        <v>176286</v>
      </c>
      <c r="M10" s="14">
        <v>196697</v>
      </c>
      <c r="N10" s="14">
        <v>211796</v>
      </c>
      <c r="O10" s="14">
        <v>6186</v>
      </c>
      <c r="P10" s="14">
        <v>0</v>
      </c>
      <c r="Q10" s="14">
        <v>89634</v>
      </c>
      <c r="R10" s="14">
        <v>351231</v>
      </c>
      <c r="S10" s="4"/>
      <c r="T10" s="14">
        <v>175918</v>
      </c>
      <c r="U10" s="14">
        <v>174747</v>
      </c>
      <c r="V10" s="14">
        <v>218150</v>
      </c>
      <c r="W10" s="14">
        <v>72125</v>
      </c>
      <c r="X10" s="14">
        <v>0</v>
      </c>
      <c r="Y10" s="14">
        <v>96719</v>
      </c>
      <c r="Z10" s="14">
        <v>360685</v>
      </c>
      <c r="AA10" s="4"/>
      <c r="AB10" s="14">
        <v>160614</v>
      </c>
      <c r="AC10" s="14">
        <v>182391</v>
      </c>
      <c r="AD10" s="14">
        <v>209341</v>
      </c>
      <c r="AE10" s="14">
        <v>75608</v>
      </c>
      <c r="AF10" s="14">
        <v>0</v>
      </c>
      <c r="AG10" s="14">
        <v>83773</v>
      </c>
      <c r="AH10" s="14">
        <v>392843</v>
      </c>
    </row>
    <row r="11" spans="2:34" x14ac:dyDescent="0.2">
      <c r="B11" s="156" t="s">
        <v>2</v>
      </c>
      <c r="C11" s="156"/>
      <c r="D11" s="15">
        <v>37061.129999999976</v>
      </c>
      <c r="E11" s="15">
        <v>13988.56</v>
      </c>
      <c r="F11" s="15">
        <v>12058.439999999999</v>
      </c>
      <c r="G11" s="15">
        <v>23344.290000000015</v>
      </c>
      <c r="H11" s="15">
        <v>1335.3300000000002</v>
      </c>
      <c r="I11" s="15">
        <v>0</v>
      </c>
      <c r="J11" s="15">
        <v>17738.080000000002</v>
      </c>
      <c r="K11" s="4"/>
      <c r="L11" s="15">
        <v>21964.584514323346</v>
      </c>
      <c r="M11" s="15">
        <v>23311.548198198197</v>
      </c>
      <c r="N11" s="15">
        <v>5918.6900047180161</v>
      </c>
      <c r="O11" s="15">
        <v>0</v>
      </c>
      <c r="P11" s="15">
        <v>0</v>
      </c>
      <c r="Q11" s="15">
        <v>0</v>
      </c>
      <c r="R11" s="15">
        <v>18394</v>
      </c>
      <c r="S11" s="4"/>
      <c r="T11" s="15">
        <v>0</v>
      </c>
      <c r="U11" s="15">
        <v>24010.894644144144</v>
      </c>
      <c r="V11" s="15">
        <v>6096.2507048595562</v>
      </c>
      <c r="W11" s="15">
        <v>0</v>
      </c>
      <c r="X11" s="15">
        <v>0</v>
      </c>
      <c r="Y11" s="15">
        <v>0</v>
      </c>
      <c r="Z11" s="15">
        <v>18945.2</v>
      </c>
      <c r="AA11" s="4"/>
      <c r="AB11" s="15">
        <v>28242.154274876524</v>
      </c>
      <c r="AC11" s="15">
        <v>48083.327445585579</v>
      </c>
      <c r="AD11" s="15">
        <v>3711.0281999999993</v>
      </c>
      <c r="AE11" s="15">
        <v>0</v>
      </c>
      <c r="AF11" s="15">
        <v>0</v>
      </c>
      <c r="AG11" s="15">
        <v>0</v>
      </c>
      <c r="AH11" s="15">
        <v>8999</v>
      </c>
    </row>
    <row r="12" spans="2:34" x14ac:dyDescent="0.2">
      <c r="B12" s="156" t="s">
        <v>3</v>
      </c>
      <c r="C12" s="156"/>
      <c r="D12" s="15">
        <v>14781.07</v>
      </c>
      <c r="E12" s="15">
        <v>10304.460000000001</v>
      </c>
      <c r="F12" s="15">
        <v>40569.159999999989</v>
      </c>
      <c r="G12" s="15">
        <v>8978.32</v>
      </c>
      <c r="H12" s="15">
        <v>42.77</v>
      </c>
      <c r="I12" s="15">
        <v>0</v>
      </c>
      <c r="J12" s="15">
        <v>5221.170000000001</v>
      </c>
      <c r="K12" s="4"/>
      <c r="L12" s="15">
        <v>2100</v>
      </c>
      <c r="M12" s="15">
        <v>7110.8172845895406</v>
      </c>
      <c r="N12" s="15">
        <v>6053.4409199977936</v>
      </c>
      <c r="O12" s="15">
        <v>0</v>
      </c>
      <c r="P12" s="15">
        <v>0</v>
      </c>
      <c r="Q12" s="15">
        <v>0</v>
      </c>
      <c r="R12" s="15">
        <v>0</v>
      </c>
      <c r="S12" s="4"/>
      <c r="T12" s="15">
        <v>21384.432049753046</v>
      </c>
      <c r="U12" s="15">
        <v>4811.2295098816003</v>
      </c>
      <c r="V12" s="15">
        <v>10184.64</v>
      </c>
      <c r="W12" s="15">
        <v>0</v>
      </c>
      <c r="X12" s="15">
        <v>0</v>
      </c>
      <c r="Y12" s="15">
        <v>0</v>
      </c>
      <c r="Z12" s="15">
        <v>0</v>
      </c>
      <c r="AA12" s="4"/>
      <c r="AB12" s="15">
        <v>0</v>
      </c>
      <c r="AC12" s="15">
        <v>0</v>
      </c>
      <c r="AD12" s="15">
        <v>13367.34</v>
      </c>
      <c r="AE12" s="15">
        <v>0</v>
      </c>
      <c r="AF12" s="15">
        <v>0</v>
      </c>
      <c r="AG12" s="15">
        <v>0</v>
      </c>
      <c r="AH12" s="15">
        <v>0</v>
      </c>
    </row>
    <row r="13" spans="2:34" x14ac:dyDescent="0.2">
      <c r="B13" s="156" t="s">
        <v>4</v>
      </c>
      <c r="C13" s="156"/>
      <c r="D13" s="15">
        <v>68732.50999999998</v>
      </c>
      <c r="E13" s="15">
        <v>27679.649999999994</v>
      </c>
      <c r="F13" s="15">
        <v>29880.600000000006</v>
      </c>
      <c r="G13" s="15">
        <v>8697.4300000000039</v>
      </c>
      <c r="H13" s="15">
        <v>1618.57</v>
      </c>
      <c r="I13" s="15">
        <v>0</v>
      </c>
      <c r="J13" s="15">
        <v>11110.740000000002</v>
      </c>
      <c r="K13" s="4"/>
      <c r="L13" s="15">
        <v>106856.29171318808</v>
      </c>
      <c r="M13" s="15">
        <v>77077.786408157379</v>
      </c>
      <c r="N13" s="15">
        <v>65729.023096943201</v>
      </c>
      <c r="O13" s="15">
        <v>8429</v>
      </c>
      <c r="P13" s="15">
        <v>0</v>
      </c>
      <c r="Q13" s="15">
        <v>22409.083427189209</v>
      </c>
      <c r="R13" s="15">
        <v>13203.9203134002</v>
      </c>
      <c r="S13" s="4"/>
      <c r="T13" s="15">
        <v>110062.02176815204</v>
      </c>
      <c r="U13" s="15">
        <v>51156.180379438651</v>
      </c>
      <c r="V13" s="15">
        <v>67700.893789851514</v>
      </c>
      <c r="W13" s="15">
        <v>8513</v>
      </c>
      <c r="X13" s="15">
        <v>0</v>
      </c>
      <c r="Y13" s="15">
        <v>23081.355930004887</v>
      </c>
      <c r="Z13" s="15">
        <v>15615.3079228023</v>
      </c>
      <c r="AA13" s="4"/>
      <c r="AB13" s="15">
        <v>66294.605007169594</v>
      </c>
      <c r="AC13" s="15">
        <v>14539.144253805292</v>
      </c>
      <c r="AD13" s="15">
        <v>33064.723496084735</v>
      </c>
      <c r="AE13" s="15">
        <v>0</v>
      </c>
      <c r="AF13" s="15">
        <v>0</v>
      </c>
      <c r="AG13" s="15">
        <v>23773.796607905035</v>
      </c>
      <c r="AH13" s="15">
        <v>0</v>
      </c>
    </row>
    <row r="14" spans="2:34" x14ac:dyDescent="0.2">
      <c r="B14" s="157" t="s">
        <v>5</v>
      </c>
      <c r="C14" s="12" t="s">
        <v>6</v>
      </c>
      <c r="D14" s="15">
        <v>342.93</v>
      </c>
      <c r="E14" s="15">
        <v>0</v>
      </c>
      <c r="F14" s="15">
        <v>136.62</v>
      </c>
      <c r="G14" s="15">
        <v>0</v>
      </c>
      <c r="H14" s="15">
        <v>0</v>
      </c>
      <c r="I14" s="15">
        <v>0</v>
      </c>
      <c r="J14" s="15">
        <v>0</v>
      </c>
      <c r="K14" s="4"/>
      <c r="L14" s="15">
        <v>18611</v>
      </c>
      <c r="M14" s="15">
        <v>23016</v>
      </c>
      <c r="N14" s="15">
        <v>11040</v>
      </c>
      <c r="O14" s="15">
        <v>0</v>
      </c>
      <c r="P14" s="15">
        <v>0</v>
      </c>
      <c r="Q14" s="15">
        <v>0</v>
      </c>
      <c r="R14" s="15">
        <v>0</v>
      </c>
      <c r="S14" s="4"/>
      <c r="T14" s="15">
        <v>9001</v>
      </c>
      <c r="U14" s="15">
        <v>23707</v>
      </c>
      <c r="V14" s="15">
        <v>11371</v>
      </c>
      <c r="W14" s="15">
        <v>56605</v>
      </c>
      <c r="X14" s="15">
        <v>0</v>
      </c>
      <c r="Y14" s="15">
        <v>0</v>
      </c>
      <c r="Z14" s="15">
        <v>0</v>
      </c>
      <c r="AA14" s="4"/>
      <c r="AB14" s="15">
        <v>7199</v>
      </c>
      <c r="AC14" s="15">
        <v>0</v>
      </c>
      <c r="AD14" s="15">
        <v>11569</v>
      </c>
      <c r="AE14" s="15">
        <v>28585</v>
      </c>
      <c r="AF14" s="15">
        <v>0</v>
      </c>
      <c r="AG14" s="15">
        <v>0</v>
      </c>
      <c r="AH14" s="15">
        <v>0</v>
      </c>
    </row>
    <row r="15" spans="2:34" x14ac:dyDescent="0.2">
      <c r="B15" s="157"/>
      <c r="C15" s="12" t="s">
        <v>7</v>
      </c>
      <c r="D15" s="15">
        <v>375.36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4"/>
      <c r="L15" s="15">
        <v>1936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4"/>
      <c r="T15" s="15">
        <v>1994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4"/>
      <c r="AB15" s="15">
        <v>3537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</row>
    <row r="16" spans="2:34" x14ac:dyDescent="0.2">
      <c r="B16" s="157"/>
      <c r="C16" s="12" t="s">
        <v>8</v>
      </c>
      <c r="D16" s="15">
        <v>0</v>
      </c>
      <c r="E16" s="15">
        <v>3018.170000000001</v>
      </c>
      <c r="F16" s="15">
        <v>0</v>
      </c>
      <c r="G16" s="15">
        <v>0</v>
      </c>
      <c r="H16" s="15">
        <v>0</v>
      </c>
      <c r="I16" s="15">
        <v>0</v>
      </c>
      <c r="J16" s="15">
        <v>6827.24</v>
      </c>
      <c r="K16" s="4"/>
      <c r="L16" s="15">
        <v>2600</v>
      </c>
      <c r="M16" s="15">
        <v>59682</v>
      </c>
      <c r="N16" s="15">
        <v>0</v>
      </c>
      <c r="O16" s="15">
        <v>0</v>
      </c>
      <c r="P16" s="15">
        <v>0</v>
      </c>
      <c r="Q16" s="15">
        <v>0</v>
      </c>
      <c r="R16" s="15">
        <v>13975</v>
      </c>
      <c r="S16" s="4"/>
      <c r="T16" s="15">
        <v>2678</v>
      </c>
      <c r="U16" s="15">
        <v>61472</v>
      </c>
      <c r="V16" s="15">
        <v>0</v>
      </c>
      <c r="W16" s="15">
        <v>40444</v>
      </c>
      <c r="X16" s="15">
        <v>0</v>
      </c>
      <c r="Y16" s="15">
        <v>0</v>
      </c>
      <c r="Z16" s="15">
        <v>14395</v>
      </c>
      <c r="AA16" s="4"/>
      <c r="AB16" s="15">
        <v>5645</v>
      </c>
      <c r="AC16" s="15">
        <v>0</v>
      </c>
      <c r="AD16" s="15">
        <v>0</v>
      </c>
      <c r="AE16" s="15">
        <v>40849</v>
      </c>
      <c r="AF16" s="15">
        <v>0</v>
      </c>
      <c r="AG16" s="15">
        <v>0</v>
      </c>
      <c r="AH16" s="15">
        <v>0</v>
      </c>
    </row>
    <row r="17" spans="2:34" x14ac:dyDescent="0.2">
      <c r="B17" s="157"/>
      <c r="C17" s="12" t="s">
        <v>9</v>
      </c>
      <c r="D17" s="15">
        <v>0</v>
      </c>
      <c r="E17" s="15">
        <v>7664.1999999999989</v>
      </c>
      <c r="F17" s="15">
        <v>4194.04</v>
      </c>
      <c r="G17" s="15">
        <v>6759.8600000000015</v>
      </c>
      <c r="H17" s="15">
        <v>0</v>
      </c>
      <c r="I17" s="15">
        <v>0</v>
      </c>
      <c r="J17" s="15">
        <v>0</v>
      </c>
      <c r="K17" s="4"/>
      <c r="L17" s="15">
        <v>4635</v>
      </c>
      <c r="M17" s="15">
        <v>32171</v>
      </c>
      <c r="N17" s="15">
        <v>13852</v>
      </c>
      <c r="O17" s="15">
        <v>0</v>
      </c>
      <c r="P17" s="15">
        <v>0</v>
      </c>
      <c r="Q17" s="15">
        <v>148308</v>
      </c>
      <c r="R17" s="15">
        <v>303203.21999999997</v>
      </c>
      <c r="S17" s="4"/>
      <c r="T17" s="15">
        <v>4774</v>
      </c>
      <c r="U17" s="15">
        <v>33136</v>
      </c>
      <c r="V17" s="15">
        <v>14268</v>
      </c>
      <c r="W17" s="15">
        <v>0</v>
      </c>
      <c r="X17" s="15">
        <v>0</v>
      </c>
      <c r="Y17" s="15">
        <v>146457</v>
      </c>
      <c r="Z17" s="15">
        <v>0</v>
      </c>
      <c r="AA17" s="4"/>
      <c r="AB17" s="15">
        <v>16114</v>
      </c>
      <c r="AC17" s="15">
        <v>1529</v>
      </c>
      <c r="AD17" s="15">
        <v>8487</v>
      </c>
      <c r="AE17" s="15">
        <v>0</v>
      </c>
      <c r="AF17" s="15">
        <v>0</v>
      </c>
      <c r="AG17" s="15">
        <v>150850</v>
      </c>
      <c r="AH17" s="15">
        <v>21881</v>
      </c>
    </row>
    <row r="18" spans="2:34" x14ac:dyDescent="0.2">
      <c r="B18" s="157"/>
      <c r="C18" s="12" t="s">
        <v>10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3072</v>
      </c>
      <c r="K18" s="4"/>
      <c r="L18" s="15">
        <v>0</v>
      </c>
      <c r="M18" s="15">
        <v>928</v>
      </c>
      <c r="N18" s="15">
        <v>17919</v>
      </c>
      <c r="O18" s="15">
        <v>0</v>
      </c>
      <c r="P18" s="15">
        <v>0</v>
      </c>
      <c r="Q18" s="15">
        <v>3371</v>
      </c>
      <c r="R18" s="15">
        <v>0</v>
      </c>
      <c r="S18" s="4"/>
      <c r="T18" s="15">
        <v>0</v>
      </c>
      <c r="U18" s="15">
        <v>956</v>
      </c>
      <c r="V18" s="15">
        <v>18456</v>
      </c>
      <c r="W18" s="15">
        <v>25804</v>
      </c>
      <c r="X18" s="15">
        <v>0</v>
      </c>
      <c r="Y18" s="15">
        <v>3472</v>
      </c>
      <c r="Z18" s="15">
        <v>0</v>
      </c>
      <c r="AA18" s="4"/>
      <c r="AB18" s="15">
        <v>0</v>
      </c>
      <c r="AC18" s="15">
        <v>27126</v>
      </c>
      <c r="AD18" s="15">
        <v>8487</v>
      </c>
      <c r="AE18" s="15">
        <v>26062</v>
      </c>
      <c r="AF18" s="15">
        <v>0</v>
      </c>
      <c r="AG18" s="15">
        <v>3576</v>
      </c>
      <c r="AH18" s="15">
        <v>0</v>
      </c>
    </row>
    <row r="19" spans="2:34" x14ac:dyDescent="0.2">
      <c r="B19" s="157"/>
      <c r="C19" s="12" t="s">
        <v>11</v>
      </c>
      <c r="D19" s="15">
        <v>20416.539999999997</v>
      </c>
      <c r="E19" s="15">
        <v>21539.740000000005</v>
      </c>
      <c r="F19" s="15">
        <v>43926.95000000007</v>
      </c>
      <c r="G19" s="15">
        <v>0</v>
      </c>
      <c r="H19" s="15">
        <v>0</v>
      </c>
      <c r="I19" s="15">
        <v>0</v>
      </c>
      <c r="J19" s="15">
        <v>0</v>
      </c>
      <c r="K19" s="4"/>
      <c r="L19" s="15">
        <v>39643</v>
      </c>
      <c r="M19" s="15">
        <v>48415</v>
      </c>
      <c r="N19" s="15">
        <v>154370</v>
      </c>
      <c r="O19" s="15">
        <v>0</v>
      </c>
      <c r="P19" s="15">
        <v>0</v>
      </c>
      <c r="Q19" s="15">
        <v>82305</v>
      </c>
      <c r="R19" s="15">
        <v>0</v>
      </c>
      <c r="S19" s="4"/>
      <c r="T19" s="15">
        <v>40832</v>
      </c>
      <c r="U19" s="15">
        <v>55108</v>
      </c>
      <c r="V19" s="15">
        <v>159002</v>
      </c>
      <c r="W19" s="15">
        <v>47111</v>
      </c>
      <c r="X19" s="15">
        <v>0</v>
      </c>
      <c r="Y19" s="15">
        <v>58337</v>
      </c>
      <c r="Z19" s="15">
        <v>0</v>
      </c>
      <c r="AA19" s="4"/>
      <c r="AB19" s="15">
        <v>61242</v>
      </c>
      <c r="AC19" s="15">
        <v>151188</v>
      </c>
      <c r="AD19" s="15">
        <v>192470</v>
      </c>
      <c r="AE19" s="15">
        <v>47582</v>
      </c>
      <c r="AF19" s="15">
        <v>0</v>
      </c>
      <c r="AG19" s="15">
        <v>60087</v>
      </c>
      <c r="AH19" s="15">
        <v>0</v>
      </c>
    </row>
    <row r="20" spans="2:34" x14ac:dyDescent="0.2">
      <c r="B20" s="140" t="s">
        <v>12</v>
      </c>
      <c r="C20" s="12" t="s">
        <v>6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4"/>
      <c r="L20" s="15">
        <v>0</v>
      </c>
      <c r="M20" s="15">
        <v>0</v>
      </c>
      <c r="N20" s="15">
        <v>13706</v>
      </c>
      <c r="O20" s="15">
        <v>0</v>
      </c>
      <c r="P20" s="15">
        <v>0</v>
      </c>
      <c r="Q20" s="15">
        <v>0</v>
      </c>
      <c r="R20" s="15">
        <v>0</v>
      </c>
      <c r="S20" s="4"/>
      <c r="T20" s="15">
        <v>0</v>
      </c>
      <c r="U20" s="15">
        <v>0</v>
      </c>
      <c r="V20" s="15">
        <v>14118</v>
      </c>
      <c r="W20" s="15">
        <v>0</v>
      </c>
      <c r="X20" s="15">
        <v>0</v>
      </c>
      <c r="Y20" s="15">
        <v>0</v>
      </c>
      <c r="Z20" s="15">
        <v>0</v>
      </c>
      <c r="AA20" s="4"/>
      <c r="AB20" s="15">
        <v>0</v>
      </c>
      <c r="AC20" s="15">
        <v>0</v>
      </c>
      <c r="AD20" s="15">
        <v>14118</v>
      </c>
      <c r="AE20" s="15">
        <v>0</v>
      </c>
      <c r="AF20" s="15">
        <v>0</v>
      </c>
      <c r="AG20" s="15">
        <v>0</v>
      </c>
      <c r="AH20" s="15">
        <v>0</v>
      </c>
    </row>
    <row r="21" spans="2:34" x14ac:dyDescent="0.2">
      <c r="B21" s="140"/>
      <c r="C21" s="12" t="s">
        <v>7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4"/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4"/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4"/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</row>
    <row r="22" spans="2:34" x14ac:dyDescent="0.2">
      <c r="B22" s="140"/>
      <c r="C22" s="12" t="s">
        <v>8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4"/>
      <c r="L22" s="15">
        <v>0</v>
      </c>
      <c r="M22" s="15">
        <v>0</v>
      </c>
      <c r="N22" s="15">
        <v>96312</v>
      </c>
      <c r="O22" s="15">
        <v>0</v>
      </c>
      <c r="P22" s="15">
        <v>0</v>
      </c>
      <c r="Q22" s="15">
        <v>0</v>
      </c>
      <c r="R22" s="15">
        <v>0</v>
      </c>
      <c r="S22" s="4"/>
      <c r="T22" s="15">
        <v>0</v>
      </c>
      <c r="U22" s="15">
        <v>0</v>
      </c>
      <c r="V22" s="15">
        <v>37401</v>
      </c>
      <c r="W22" s="15">
        <v>0</v>
      </c>
      <c r="X22" s="15">
        <v>0</v>
      </c>
      <c r="Y22" s="15">
        <v>0</v>
      </c>
      <c r="Z22" s="15">
        <v>0</v>
      </c>
      <c r="AA22" s="4"/>
      <c r="AB22" s="15">
        <v>36542</v>
      </c>
      <c r="AC22" s="15">
        <v>0</v>
      </c>
      <c r="AD22" s="15">
        <v>37401</v>
      </c>
      <c r="AE22" s="15">
        <v>0</v>
      </c>
      <c r="AF22" s="15">
        <v>0</v>
      </c>
      <c r="AG22" s="15">
        <v>0</v>
      </c>
      <c r="AH22" s="15">
        <v>0</v>
      </c>
    </row>
    <row r="23" spans="2:34" x14ac:dyDescent="0.2">
      <c r="B23" s="140"/>
      <c r="C23" s="12" t="s">
        <v>9</v>
      </c>
      <c r="D23" s="15">
        <v>389868.30999999994</v>
      </c>
      <c r="E23" s="15">
        <v>214870.62</v>
      </c>
      <c r="F23" s="15">
        <v>152661.25999999998</v>
      </c>
      <c r="G23" s="15">
        <v>214524.32</v>
      </c>
      <c r="H23" s="15">
        <v>0</v>
      </c>
      <c r="I23" s="15">
        <v>0</v>
      </c>
      <c r="J23" s="15">
        <v>0</v>
      </c>
      <c r="K23" s="4"/>
      <c r="L23" s="15">
        <v>202265</v>
      </c>
      <c r="M23" s="15">
        <v>347603</v>
      </c>
      <c r="N23" s="15">
        <v>26116</v>
      </c>
      <c r="O23" s="15">
        <v>0</v>
      </c>
      <c r="P23" s="15">
        <v>0</v>
      </c>
      <c r="Q23" s="15">
        <v>0</v>
      </c>
      <c r="R23" s="15">
        <v>0</v>
      </c>
      <c r="S23" s="4"/>
      <c r="T23" s="15">
        <v>247699</v>
      </c>
      <c r="U23" s="15">
        <v>358030</v>
      </c>
      <c r="V23" s="15">
        <v>26899</v>
      </c>
      <c r="W23" s="15">
        <v>0</v>
      </c>
      <c r="X23" s="15">
        <v>0</v>
      </c>
      <c r="Y23" s="15">
        <v>0</v>
      </c>
      <c r="Z23" s="15">
        <v>0</v>
      </c>
      <c r="AA23" s="4"/>
      <c r="AB23" s="15">
        <v>220693</v>
      </c>
      <c r="AC23" s="15">
        <v>335288</v>
      </c>
      <c r="AD23" s="15">
        <v>31827</v>
      </c>
      <c r="AE23" s="15">
        <v>0</v>
      </c>
      <c r="AF23" s="15">
        <v>0</v>
      </c>
      <c r="AG23" s="15">
        <v>0</v>
      </c>
      <c r="AH23" s="15">
        <v>0</v>
      </c>
    </row>
    <row r="24" spans="2:34" x14ac:dyDescent="0.2">
      <c r="B24" s="140"/>
      <c r="C24" s="12" t="s">
        <v>10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4"/>
      <c r="L24" s="15">
        <v>35481</v>
      </c>
      <c r="M24" s="15">
        <v>0</v>
      </c>
      <c r="N24" s="15">
        <v>6176</v>
      </c>
      <c r="O24" s="15">
        <v>0</v>
      </c>
      <c r="P24" s="15">
        <v>0</v>
      </c>
      <c r="Q24" s="15">
        <v>0</v>
      </c>
      <c r="R24" s="15">
        <v>0</v>
      </c>
      <c r="S24" s="4"/>
      <c r="T24" s="15">
        <v>0</v>
      </c>
      <c r="U24" s="15">
        <v>0</v>
      </c>
      <c r="V24" s="15">
        <v>6361</v>
      </c>
      <c r="W24" s="15">
        <v>0</v>
      </c>
      <c r="X24" s="15">
        <v>0</v>
      </c>
      <c r="Y24" s="15">
        <v>0</v>
      </c>
      <c r="Z24" s="15">
        <v>0</v>
      </c>
      <c r="AA24" s="4"/>
      <c r="AB24" s="15">
        <v>0</v>
      </c>
      <c r="AC24" s="15">
        <v>0</v>
      </c>
      <c r="AD24" s="15">
        <v>6361</v>
      </c>
      <c r="AE24" s="15">
        <v>0</v>
      </c>
      <c r="AF24" s="15">
        <v>0</v>
      </c>
      <c r="AG24" s="15">
        <v>0</v>
      </c>
      <c r="AH24" s="15">
        <v>0</v>
      </c>
    </row>
    <row r="25" spans="2:34" x14ac:dyDescent="0.2">
      <c r="B25" s="141"/>
      <c r="C25" s="13" t="s">
        <v>11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4"/>
      <c r="L25" s="16">
        <v>67409</v>
      </c>
      <c r="M25" s="16">
        <v>0</v>
      </c>
      <c r="N25" s="16">
        <v>70353</v>
      </c>
      <c r="O25" s="16">
        <v>0</v>
      </c>
      <c r="P25" s="16">
        <v>0</v>
      </c>
      <c r="Q25" s="16">
        <v>0</v>
      </c>
      <c r="R25" s="16">
        <v>0</v>
      </c>
      <c r="S25" s="4"/>
      <c r="T25" s="16">
        <v>43204</v>
      </c>
      <c r="U25" s="16">
        <v>0</v>
      </c>
      <c r="V25" s="16">
        <v>72464</v>
      </c>
      <c r="W25" s="16">
        <v>0</v>
      </c>
      <c r="X25" s="16">
        <v>0</v>
      </c>
      <c r="Y25" s="16">
        <v>0</v>
      </c>
      <c r="Z25" s="16">
        <v>0</v>
      </c>
      <c r="AA25" s="4"/>
      <c r="AB25" s="16">
        <v>0</v>
      </c>
      <c r="AC25" s="16">
        <v>0</v>
      </c>
      <c r="AD25" s="16">
        <v>72464</v>
      </c>
      <c r="AE25" s="16">
        <v>0</v>
      </c>
      <c r="AF25" s="16">
        <v>0</v>
      </c>
      <c r="AG25" s="16">
        <v>0</v>
      </c>
      <c r="AH25" s="16">
        <v>0</v>
      </c>
    </row>
    <row r="26" spans="2:34" x14ac:dyDescent="0.2">
      <c r="B26" s="148" t="s">
        <v>14</v>
      </c>
      <c r="C26" s="149"/>
      <c r="D26" s="6">
        <f>SUM(D10:D25)</f>
        <v>676200.84999999986</v>
      </c>
      <c r="E26" s="6">
        <f t="shared" ref="E26:J26" si="0">SUM(E10:E25)</f>
        <v>379815.36</v>
      </c>
      <c r="F26" s="6">
        <f t="shared" si="0"/>
        <v>406298.6</v>
      </c>
      <c r="G26" s="6">
        <f t="shared" si="0"/>
        <v>320549.05000000005</v>
      </c>
      <c r="H26" s="6">
        <f t="shared" si="0"/>
        <v>14409.83</v>
      </c>
      <c r="I26" s="6">
        <f t="shared" ref="I26" si="1">SUM(I10:I25)</f>
        <v>0</v>
      </c>
      <c r="J26" s="6">
        <f t="shared" si="0"/>
        <v>202257.14000000004</v>
      </c>
      <c r="K26" s="4"/>
      <c r="L26" s="6">
        <f>SUM(L10:L25)</f>
        <v>679786.87622751144</v>
      </c>
      <c r="M26" s="6">
        <f t="shared" ref="M26" si="2">SUM(M10:M25)</f>
        <v>816012.15189094516</v>
      </c>
      <c r="N26" s="6">
        <f t="shared" ref="N26:O26" si="3">SUM(N10:N25)</f>
        <v>699341.15402165893</v>
      </c>
      <c r="O26" s="6">
        <f t="shared" si="3"/>
        <v>14615</v>
      </c>
      <c r="P26" s="6">
        <f t="shared" ref="P26:Q26" si="4">SUM(P10:P25)</f>
        <v>0</v>
      </c>
      <c r="Q26" s="6">
        <f t="shared" si="4"/>
        <v>346027.08342718921</v>
      </c>
      <c r="R26" s="6">
        <f>SUM(R10:R25)</f>
        <v>700007.14031340019</v>
      </c>
      <c r="S26" s="4"/>
      <c r="T26" s="6">
        <f>SUM(T10:T25)</f>
        <v>657546.45381790516</v>
      </c>
      <c r="U26" s="6">
        <f t="shared" ref="U26:W26" si="5">SUM(U10:U25)</f>
        <v>787134.30453346437</v>
      </c>
      <c r="V26" s="6">
        <f t="shared" si="5"/>
        <v>662471.78449471109</v>
      </c>
      <c r="W26" s="6">
        <f t="shared" si="5"/>
        <v>250602</v>
      </c>
      <c r="X26" s="6">
        <f t="shared" ref="X26:Y26" si="6">SUM(X10:X25)</f>
        <v>0</v>
      </c>
      <c r="Y26" s="6">
        <f t="shared" si="6"/>
        <v>328066.35593000485</v>
      </c>
      <c r="Z26" s="6">
        <f>SUM(Z10:Z25)</f>
        <v>409640.5079228023</v>
      </c>
      <c r="AA26" s="4"/>
      <c r="AB26" s="6">
        <f>SUM(AB10:AB25)</f>
        <v>606122.75928204611</v>
      </c>
      <c r="AC26" s="6">
        <f t="shared" ref="AC26:AE26" si="7">SUM(AC10:AC25)</f>
        <v>760144.47169939079</v>
      </c>
      <c r="AD26" s="6">
        <f t="shared" si="7"/>
        <v>642668.09169608471</v>
      </c>
      <c r="AE26" s="6">
        <f t="shared" si="7"/>
        <v>218686</v>
      </c>
      <c r="AF26" s="6">
        <f t="shared" ref="AF26:AG26" si="8">SUM(AF10:AF25)</f>
        <v>0</v>
      </c>
      <c r="AG26" s="6">
        <f t="shared" si="8"/>
        <v>322059.79660790507</v>
      </c>
      <c r="AH26" s="6">
        <f>SUM(AH10:AH25)</f>
        <v>423723</v>
      </c>
    </row>
    <row r="27" spans="2:34" x14ac:dyDescent="0.2">
      <c r="B27" s="152" t="s">
        <v>13</v>
      </c>
      <c r="C27" s="153"/>
      <c r="D27" s="15">
        <f>D26*20.98%</f>
        <v>141866.93832999998</v>
      </c>
      <c r="E27" s="15">
        <f t="shared" ref="E27:J27" si="9">E26*20.98%</f>
        <v>79685.262528000007</v>
      </c>
      <c r="F27" s="15">
        <f t="shared" si="9"/>
        <v>85241.446280000004</v>
      </c>
      <c r="G27" s="15">
        <f t="shared" si="9"/>
        <v>67251.190690000018</v>
      </c>
      <c r="H27" s="15">
        <f t="shared" si="9"/>
        <v>3023.1823340000001</v>
      </c>
      <c r="I27" s="15">
        <f t="shared" ref="I27" si="10">I26*20.98%</f>
        <v>0</v>
      </c>
      <c r="J27" s="15">
        <f t="shared" si="9"/>
        <v>42433.547972000015</v>
      </c>
      <c r="K27" s="4"/>
      <c r="L27" s="15">
        <f t="shared" ref="L27:R27" si="11">L26*20.98%</f>
        <v>142619.2866325319</v>
      </c>
      <c r="M27" s="15">
        <f t="shared" si="11"/>
        <v>171199.3494667203</v>
      </c>
      <c r="N27" s="15">
        <f t="shared" si="11"/>
        <v>146721.77411374406</v>
      </c>
      <c r="O27" s="15">
        <f t="shared" si="11"/>
        <v>3066.2270000000003</v>
      </c>
      <c r="P27" s="15">
        <f t="shared" ref="P27:Q27" si="12">P26*20.98%</f>
        <v>0</v>
      </c>
      <c r="Q27" s="15">
        <f t="shared" si="12"/>
        <v>72596.482103024304</v>
      </c>
      <c r="R27" s="15">
        <f t="shared" si="11"/>
        <v>146861.49803775136</v>
      </c>
      <c r="S27" s="4"/>
      <c r="T27" s="15">
        <f>T26*20.98%</f>
        <v>137953.24601099652</v>
      </c>
      <c r="U27" s="15">
        <f t="shared" ref="U27:Z27" si="13">U26*20.98%</f>
        <v>165140.77709112084</v>
      </c>
      <c r="V27" s="15">
        <f t="shared" si="13"/>
        <v>138986.58038699039</v>
      </c>
      <c r="W27" s="15">
        <f t="shared" si="13"/>
        <v>52576.299600000006</v>
      </c>
      <c r="X27" s="15">
        <f t="shared" ref="X27:Y27" si="14">X26*20.98%</f>
        <v>0</v>
      </c>
      <c r="Y27" s="15">
        <f t="shared" si="14"/>
        <v>68828.32147411503</v>
      </c>
      <c r="Z27" s="15">
        <f t="shared" si="13"/>
        <v>85942.578562203926</v>
      </c>
      <c r="AA27" s="4"/>
      <c r="AB27" s="15">
        <f>AB26*20.98%</f>
        <v>127164.55489737328</v>
      </c>
      <c r="AC27" s="15">
        <f t="shared" ref="AC27:AH27" si="15">AC26*20.98%</f>
        <v>159478.3101625322</v>
      </c>
      <c r="AD27" s="15">
        <f t="shared" si="15"/>
        <v>134831.76563783857</v>
      </c>
      <c r="AE27" s="15">
        <f t="shared" si="15"/>
        <v>45880.322800000002</v>
      </c>
      <c r="AF27" s="15">
        <f t="shared" ref="AF27:AG27" si="16">AF26*20.98%</f>
        <v>0</v>
      </c>
      <c r="AG27" s="15">
        <f t="shared" si="16"/>
        <v>67568.145328338491</v>
      </c>
      <c r="AH27" s="15">
        <f t="shared" si="15"/>
        <v>88897.085400000011</v>
      </c>
    </row>
    <row r="28" spans="2:34" x14ac:dyDescent="0.2">
      <c r="B28" s="154" t="s">
        <v>15</v>
      </c>
      <c r="C28" s="154"/>
      <c r="D28" s="5">
        <f>D27+D26</f>
        <v>818067.78832999989</v>
      </c>
      <c r="E28" s="5">
        <f t="shared" ref="E28:J28" si="17">E27+E26</f>
        <v>459500.62252799998</v>
      </c>
      <c r="F28" s="5">
        <f t="shared" si="17"/>
        <v>491540.04628000001</v>
      </c>
      <c r="G28" s="5">
        <f t="shared" si="17"/>
        <v>387800.24069000006</v>
      </c>
      <c r="H28" s="5">
        <f t="shared" si="17"/>
        <v>17433.012333999999</v>
      </c>
      <c r="I28" s="5">
        <f t="shared" si="17"/>
        <v>0</v>
      </c>
      <c r="J28" s="5">
        <f t="shared" si="17"/>
        <v>244690.68797200004</v>
      </c>
      <c r="K28" s="4"/>
      <c r="L28" s="5">
        <f>L27+L26</f>
        <v>822406.16286004335</v>
      </c>
      <c r="M28" s="5">
        <f t="shared" ref="M28" si="18">M27+M26</f>
        <v>987211.50135766552</v>
      </c>
      <c r="N28" s="5">
        <f t="shared" ref="N28:O28" si="19">N27+N26</f>
        <v>846062.92813540297</v>
      </c>
      <c r="O28" s="5">
        <f t="shared" si="19"/>
        <v>17681.226999999999</v>
      </c>
      <c r="P28" s="5">
        <f t="shared" ref="P28:Q28" si="20">P27+P26</f>
        <v>0</v>
      </c>
      <c r="Q28" s="5">
        <f t="shared" si="20"/>
        <v>418623.56553021353</v>
      </c>
      <c r="R28" s="5">
        <f t="shared" ref="R28" si="21">R27+R26</f>
        <v>846868.63835115149</v>
      </c>
      <c r="S28" s="4"/>
      <c r="T28" s="5">
        <f>T27+T26</f>
        <v>795499.69982890168</v>
      </c>
      <c r="U28" s="5">
        <f t="shared" ref="U28:Z28" si="22">U27+U26</f>
        <v>952275.0816245852</v>
      </c>
      <c r="V28" s="5">
        <f t="shared" si="22"/>
        <v>801458.36488170153</v>
      </c>
      <c r="W28" s="5">
        <f t="shared" si="22"/>
        <v>303178.29960000003</v>
      </c>
      <c r="X28" s="5">
        <f t="shared" ref="X28:Y28" si="23">X27+X26</f>
        <v>0</v>
      </c>
      <c r="Y28" s="5">
        <f t="shared" si="23"/>
        <v>396894.67740411987</v>
      </c>
      <c r="Z28" s="5">
        <f t="shared" si="22"/>
        <v>495583.08648500621</v>
      </c>
      <c r="AA28" s="4"/>
      <c r="AB28" s="5">
        <f>AB27+AB26</f>
        <v>733287.31417941942</v>
      </c>
      <c r="AC28" s="5">
        <f t="shared" ref="AC28:AH28" si="24">AC27+AC26</f>
        <v>919622.78186192294</v>
      </c>
      <c r="AD28" s="5">
        <f t="shared" si="24"/>
        <v>777499.85733392322</v>
      </c>
      <c r="AE28" s="5">
        <f t="shared" si="24"/>
        <v>264566.32280000002</v>
      </c>
      <c r="AF28" s="5">
        <f t="shared" ref="AF28:AG28" si="25">AF27+AF26</f>
        <v>0</v>
      </c>
      <c r="AG28" s="5">
        <f t="shared" si="25"/>
        <v>389627.94193624356</v>
      </c>
      <c r="AH28" s="5">
        <f t="shared" si="24"/>
        <v>512620.08539999998</v>
      </c>
    </row>
    <row r="29" spans="2:34" x14ac:dyDescent="0.2">
      <c r="B29" s="150" t="s">
        <v>19</v>
      </c>
      <c r="C29" s="150"/>
      <c r="D29" s="155">
        <f>SUM(D28:J28)</f>
        <v>2419032.3981339997</v>
      </c>
      <c r="E29" s="143"/>
      <c r="F29" s="143"/>
      <c r="G29" s="143"/>
      <c r="H29" s="143"/>
      <c r="I29" s="143"/>
      <c r="J29" s="143"/>
      <c r="K29" s="11"/>
      <c r="L29" s="143">
        <f>SUM(L28:R28)</f>
        <v>3938854.0232344773</v>
      </c>
      <c r="M29" s="143"/>
      <c r="N29" s="143"/>
      <c r="O29" s="143"/>
      <c r="P29" s="143"/>
      <c r="Q29" s="143"/>
      <c r="R29" s="143"/>
      <c r="S29" s="11"/>
      <c r="T29" s="143">
        <f t="shared" ref="T29" si="26">SUM(T28:Z28)</f>
        <v>3744889.2098243148</v>
      </c>
      <c r="U29" s="143"/>
      <c r="V29" s="143"/>
      <c r="W29" s="143"/>
      <c r="X29" s="143"/>
      <c r="Y29" s="143"/>
      <c r="Z29" s="143"/>
      <c r="AA29" s="11"/>
      <c r="AB29" s="143">
        <f t="shared" ref="AB29" si="27">SUM(AB28:AH28)</f>
        <v>3597224.3035115097</v>
      </c>
      <c r="AC29" s="143"/>
      <c r="AD29" s="143"/>
      <c r="AE29" s="143"/>
      <c r="AF29" s="143"/>
      <c r="AG29" s="143"/>
      <c r="AH29" s="144"/>
    </row>
    <row r="30" spans="2:34" s="9" customFormat="1" ht="16" x14ac:dyDescent="0.2">
      <c r="B30" s="151" t="s">
        <v>20</v>
      </c>
      <c r="C30" s="151"/>
      <c r="D30" s="145">
        <f>D29+L29+T29+AB29</f>
        <v>13699999.934704302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7"/>
    </row>
  </sheetData>
  <mergeCells count="22">
    <mergeCell ref="B9:C9"/>
    <mergeCell ref="AB8:AH8"/>
    <mergeCell ref="D8:J8"/>
    <mergeCell ref="L8:R8"/>
    <mergeCell ref="T8:Z8"/>
    <mergeCell ref="B8:C8"/>
    <mergeCell ref="B20:B25"/>
    <mergeCell ref="B10:C10"/>
    <mergeCell ref="AB29:AH29"/>
    <mergeCell ref="D30:AH30"/>
    <mergeCell ref="B26:C26"/>
    <mergeCell ref="B29:C29"/>
    <mergeCell ref="B30:C30"/>
    <mergeCell ref="B27:C27"/>
    <mergeCell ref="B28:C28"/>
    <mergeCell ref="D29:J29"/>
    <mergeCell ref="L29:R29"/>
    <mergeCell ref="T29:Z29"/>
    <mergeCell ref="B11:C11"/>
    <mergeCell ref="B12:C12"/>
    <mergeCell ref="B13:C13"/>
    <mergeCell ref="B14:B19"/>
  </mergeCells>
  <pageMargins left="0.7" right="0.7" top="0.75" bottom="0.75" header="0.3" footer="0.3"/>
  <pageSetup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Y30"/>
  <sheetViews>
    <sheetView workbookViewId="0">
      <selection activeCell="I36" sqref="I36"/>
    </sheetView>
  </sheetViews>
  <sheetFormatPr baseColWidth="10" defaultColWidth="9.1640625" defaultRowHeight="15" x14ac:dyDescent="0.2"/>
  <cols>
    <col min="1" max="1" width="9.1640625" style="1"/>
    <col min="2" max="2" width="17.6640625" style="1" customWidth="1"/>
    <col min="3" max="3" width="33.83203125" style="1" bestFit="1" customWidth="1"/>
    <col min="4" max="6" width="13.83203125" style="1" customWidth="1"/>
    <col min="7" max="7" width="1.6640625" style="1" customWidth="1"/>
    <col min="8" max="10" width="13.83203125" style="1" customWidth="1"/>
    <col min="11" max="11" width="1.5" style="1" customWidth="1"/>
    <col min="12" max="14" width="13.83203125" style="1" customWidth="1"/>
    <col min="15" max="15" width="1.5" style="1" customWidth="1"/>
    <col min="16" max="19" width="13.83203125" style="1" customWidth="1"/>
    <col min="20" max="16384" width="9.1640625" style="1"/>
  </cols>
  <sheetData>
    <row r="8" spans="2:25" s="9" customFormat="1" x14ac:dyDescent="0.2">
      <c r="B8" s="160"/>
      <c r="C8" s="162"/>
      <c r="D8" s="151">
        <v>2019</v>
      </c>
      <c r="E8" s="151"/>
      <c r="F8" s="151"/>
      <c r="G8" s="10"/>
      <c r="H8" s="151">
        <v>2020</v>
      </c>
      <c r="I8" s="151"/>
      <c r="J8" s="151"/>
      <c r="K8" s="10"/>
      <c r="L8" s="151">
        <v>2021</v>
      </c>
      <c r="M8" s="151"/>
      <c r="N8" s="151"/>
      <c r="O8" s="10"/>
      <c r="P8" s="151">
        <v>2022</v>
      </c>
      <c r="Q8" s="151"/>
      <c r="R8" s="151"/>
      <c r="T8" s="1"/>
      <c r="Y8" s="9" t="s">
        <v>39</v>
      </c>
    </row>
    <row r="9" spans="2:25" x14ac:dyDescent="0.2">
      <c r="B9" s="158"/>
      <c r="C9" s="159"/>
      <c r="D9" s="2" t="s">
        <v>22</v>
      </c>
      <c r="E9" s="2" t="s">
        <v>21</v>
      </c>
      <c r="F9" s="2" t="s">
        <v>18</v>
      </c>
      <c r="G9" s="3"/>
      <c r="H9" s="2" t="s">
        <v>22</v>
      </c>
      <c r="I9" s="2" t="s">
        <v>21</v>
      </c>
      <c r="J9" s="2" t="s">
        <v>18</v>
      </c>
      <c r="K9" s="3"/>
      <c r="L9" s="2" t="s">
        <v>22</v>
      </c>
      <c r="M9" s="2" t="s">
        <v>21</v>
      </c>
      <c r="N9" s="2" t="s">
        <v>18</v>
      </c>
      <c r="O9" s="3"/>
      <c r="P9" s="2" t="s">
        <v>22</v>
      </c>
      <c r="Q9" s="2" t="s">
        <v>21</v>
      </c>
      <c r="R9" s="2" t="s">
        <v>18</v>
      </c>
      <c r="Y9" s="1" t="s">
        <v>40</v>
      </c>
    </row>
    <row r="10" spans="2:25" x14ac:dyDescent="0.2">
      <c r="B10" s="169" t="s">
        <v>1</v>
      </c>
      <c r="C10" s="169"/>
      <c r="D10" s="82">
        <v>121843.02130618288</v>
      </c>
      <c r="E10" s="82">
        <v>161005</v>
      </c>
      <c r="F10" s="82">
        <v>129237.04824053129</v>
      </c>
      <c r="G10" s="83"/>
      <c r="H10" s="82">
        <v>138726.40995843022</v>
      </c>
      <c r="I10" s="82">
        <v>165836</v>
      </c>
      <c r="J10" s="82">
        <v>153572.67472654724</v>
      </c>
      <c r="K10" s="83"/>
      <c r="L10" s="82">
        <v>144275.4663567674</v>
      </c>
      <c r="M10" s="82">
        <v>170811</v>
      </c>
      <c r="N10" s="82">
        <v>168331.87229334365</v>
      </c>
      <c r="O10" s="83"/>
      <c r="P10" s="82">
        <v>137056.82831855811</v>
      </c>
      <c r="Q10" s="82">
        <v>175935</v>
      </c>
      <c r="R10" s="82">
        <v>218094.03321405273</v>
      </c>
      <c r="Y10" s="1" t="s">
        <v>41</v>
      </c>
    </row>
    <row r="11" spans="2:25" x14ac:dyDescent="0.2">
      <c r="B11" s="170" t="s">
        <v>2</v>
      </c>
      <c r="C11" s="170"/>
      <c r="D11" s="84">
        <v>1887.78</v>
      </c>
      <c r="E11" s="84"/>
      <c r="F11" s="84">
        <v>7206</v>
      </c>
      <c r="G11" s="85"/>
      <c r="H11" s="84">
        <v>1963.2912000000001</v>
      </c>
      <c r="I11" s="84"/>
      <c r="J11" s="84">
        <v>7422.18</v>
      </c>
      <c r="K11" s="85"/>
      <c r="L11" s="84">
        <v>2041.8228480000002</v>
      </c>
      <c r="M11" s="84"/>
      <c r="N11" s="84">
        <v>11729.310399999998</v>
      </c>
      <c r="O11" s="85"/>
      <c r="P11" s="84">
        <v>2123.4957619199999</v>
      </c>
      <c r="Q11" s="84"/>
      <c r="R11" s="84">
        <v>11261.644462</v>
      </c>
      <c r="Y11" s="1" t="s">
        <v>42</v>
      </c>
    </row>
    <row r="12" spans="2:25" x14ac:dyDescent="0.2">
      <c r="B12" s="170" t="s">
        <v>3</v>
      </c>
      <c r="C12" s="170"/>
      <c r="D12" s="84">
        <v>46377.452028284868</v>
      </c>
      <c r="E12" s="84">
        <v>4136</v>
      </c>
      <c r="F12" s="84">
        <v>3600</v>
      </c>
      <c r="G12" s="85"/>
      <c r="H12" s="84">
        <v>0</v>
      </c>
      <c r="I12" s="84"/>
      <c r="J12" s="84">
        <v>0</v>
      </c>
      <c r="K12" s="85"/>
      <c r="L12" s="84">
        <v>0</v>
      </c>
      <c r="M12" s="84"/>
      <c r="N12" s="84">
        <v>0</v>
      </c>
      <c r="O12" s="85"/>
      <c r="P12" s="84">
        <v>0</v>
      </c>
      <c r="Q12" s="84">
        <v>1967</v>
      </c>
      <c r="R12" s="84">
        <v>3933.8172</v>
      </c>
      <c r="Y12" s="1" t="s">
        <v>43</v>
      </c>
    </row>
    <row r="13" spans="2:25" x14ac:dyDescent="0.2">
      <c r="B13" s="170" t="s">
        <v>4</v>
      </c>
      <c r="C13" s="170"/>
      <c r="D13" s="84">
        <v>11236.994549276395</v>
      </c>
      <c r="E13" s="84">
        <v>22296</v>
      </c>
      <c r="F13" s="84">
        <v>8951.9958413397799</v>
      </c>
      <c r="G13" s="85"/>
      <c r="H13" s="84">
        <v>11686.474331247449</v>
      </c>
      <c r="I13" s="84">
        <v>22965</v>
      </c>
      <c r="J13" s="84">
        <v>8293.710216579977</v>
      </c>
      <c r="K13" s="85"/>
      <c r="L13" s="84">
        <v>12153.933304497348</v>
      </c>
      <c r="M13" s="84">
        <v>23654</v>
      </c>
      <c r="N13" s="84">
        <v>8542.5215230773756</v>
      </c>
      <c r="O13" s="85"/>
      <c r="P13" s="84">
        <v>12640.090636677241</v>
      </c>
      <c r="Q13" s="84">
        <v>24364</v>
      </c>
      <c r="R13" s="84">
        <v>8798.7971687696972</v>
      </c>
    </row>
    <row r="14" spans="2:25" x14ac:dyDescent="0.2">
      <c r="B14" s="171" t="s">
        <v>5</v>
      </c>
      <c r="C14" s="86" t="s">
        <v>6</v>
      </c>
      <c r="D14" s="84">
        <v>21997.210448198355</v>
      </c>
      <c r="E14" s="84">
        <v>3703</v>
      </c>
      <c r="F14" s="84"/>
      <c r="G14" s="85"/>
      <c r="H14" s="84">
        <v>22877.098866126289</v>
      </c>
      <c r="I14" s="84">
        <v>2061</v>
      </c>
      <c r="J14" s="84"/>
      <c r="K14" s="85"/>
      <c r="L14" s="84">
        <v>23792.182820771344</v>
      </c>
      <c r="M14" s="84">
        <v>2123</v>
      </c>
      <c r="N14" s="84"/>
      <c r="O14" s="85"/>
      <c r="P14" s="84">
        <v>24743.870133602195</v>
      </c>
      <c r="Q14" s="84">
        <v>2187</v>
      </c>
      <c r="R14" s="84"/>
    </row>
    <row r="15" spans="2:25" x14ac:dyDescent="0.2">
      <c r="B15" s="171"/>
      <c r="C15" s="86" t="s">
        <v>7</v>
      </c>
      <c r="D15" s="84"/>
      <c r="E15" s="84"/>
      <c r="F15" s="84">
        <v>6750</v>
      </c>
      <c r="G15" s="85"/>
      <c r="H15" s="84"/>
      <c r="I15" s="84"/>
      <c r="J15" s="84">
        <v>6952.5</v>
      </c>
      <c r="K15" s="85"/>
      <c r="L15" s="84"/>
      <c r="M15" s="84"/>
      <c r="N15" s="84">
        <v>4774.05</v>
      </c>
      <c r="O15" s="85"/>
      <c r="P15" s="84"/>
      <c r="Q15" s="84"/>
      <c r="R15" s="84">
        <v>0</v>
      </c>
    </row>
    <row r="16" spans="2:25" x14ac:dyDescent="0.2">
      <c r="B16" s="171"/>
      <c r="C16" s="86" t="s">
        <v>8</v>
      </c>
      <c r="D16" s="84">
        <v>12831.706094782374</v>
      </c>
      <c r="E16" s="84"/>
      <c r="F16" s="84">
        <v>34375</v>
      </c>
      <c r="G16" s="85"/>
      <c r="H16" s="84">
        <v>13344.974338573669</v>
      </c>
      <c r="I16" s="84"/>
      <c r="J16" s="84">
        <v>17703</v>
      </c>
      <c r="K16" s="85"/>
      <c r="L16" s="84">
        <v>13878.773312116617</v>
      </c>
      <c r="M16" s="84"/>
      <c r="N16" s="84"/>
      <c r="O16" s="85"/>
      <c r="P16" s="84">
        <v>14433.924244601281</v>
      </c>
      <c r="Q16" s="84"/>
      <c r="R16" s="84"/>
    </row>
    <row r="17" spans="2:23" x14ac:dyDescent="0.2">
      <c r="B17" s="171"/>
      <c r="C17" s="86" t="s">
        <v>9</v>
      </c>
      <c r="D17" s="84">
        <v>120984.65746509095</v>
      </c>
      <c r="E17" s="84">
        <v>22584</v>
      </c>
      <c r="F17" s="84"/>
      <c r="G17" s="85"/>
      <c r="H17" s="84">
        <v>10485.336980307882</v>
      </c>
      <c r="I17" s="84">
        <v>23261</v>
      </c>
      <c r="J17" s="84"/>
      <c r="K17" s="85"/>
      <c r="L17" s="84">
        <v>10904.750459520199</v>
      </c>
      <c r="M17" s="84">
        <v>23959</v>
      </c>
      <c r="N17" s="84"/>
      <c r="O17" s="85"/>
      <c r="P17" s="84">
        <v>11340.940477901007</v>
      </c>
      <c r="Q17" s="84">
        <v>24678</v>
      </c>
      <c r="R17" s="84"/>
    </row>
    <row r="18" spans="2:23" x14ac:dyDescent="0.2">
      <c r="B18" s="171"/>
      <c r="C18" s="86" t="s">
        <v>10</v>
      </c>
      <c r="D18" s="84">
        <v>43994.42089639671</v>
      </c>
      <c r="E18" s="84">
        <v>79742.566964285725</v>
      </c>
      <c r="F18" s="84"/>
      <c r="G18" s="85"/>
      <c r="H18" s="84">
        <v>45754.197732252578</v>
      </c>
      <c r="I18" s="84">
        <v>82134.843973214287</v>
      </c>
      <c r="J18" s="84"/>
      <c r="K18" s="85"/>
      <c r="L18" s="84">
        <v>47584.365641542689</v>
      </c>
      <c r="M18" s="84">
        <v>84598.88929241072</v>
      </c>
      <c r="N18" s="84"/>
      <c r="O18" s="85"/>
      <c r="P18" s="84">
        <v>49487.740267204397</v>
      </c>
      <c r="Q18" s="84">
        <v>87136.855971183046</v>
      </c>
      <c r="R18" s="84"/>
    </row>
    <row r="19" spans="2:23" x14ac:dyDescent="0.2">
      <c r="B19" s="171"/>
      <c r="C19" s="86" t="s">
        <v>11</v>
      </c>
      <c r="D19" s="84">
        <v>124650.85920645736</v>
      </c>
      <c r="E19" s="84">
        <v>28344.642857142859</v>
      </c>
      <c r="F19" s="84"/>
      <c r="G19" s="85"/>
      <c r="H19" s="84">
        <v>23035.967608252169</v>
      </c>
      <c r="I19" s="84">
        <v>29194.982142857141</v>
      </c>
      <c r="J19" s="84"/>
      <c r="K19" s="85"/>
      <c r="L19" s="84">
        <v>23957.406312582254</v>
      </c>
      <c r="M19" s="84">
        <v>30070.831607142856</v>
      </c>
      <c r="N19" s="84"/>
      <c r="O19" s="85"/>
      <c r="P19" s="84">
        <v>24915.702565085543</v>
      </c>
      <c r="Q19" s="84">
        <v>30972.956555357141</v>
      </c>
      <c r="R19" s="84"/>
    </row>
    <row r="20" spans="2:23" x14ac:dyDescent="0.2">
      <c r="B20" s="172" t="s">
        <v>12</v>
      </c>
      <c r="C20" s="86" t="s">
        <v>6</v>
      </c>
      <c r="D20" s="84"/>
      <c r="E20" s="84"/>
      <c r="F20" s="84"/>
      <c r="G20" s="85"/>
      <c r="H20" s="84"/>
      <c r="I20" s="84"/>
      <c r="J20" s="84"/>
      <c r="K20" s="85"/>
      <c r="L20" s="84"/>
      <c r="M20" s="84"/>
      <c r="N20" s="84"/>
      <c r="O20" s="85"/>
      <c r="P20" s="84"/>
      <c r="Q20" s="84"/>
      <c r="R20" s="84"/>
    </row>
    <row r="21" spans="2:23" x14ac:dyDescent="0.2">
      <c r="B21" s="172"/>
      <c r="C21" s="86" t="s">
        <v>7</v>
      </c>
      <c r="D21" s="84"/>
      <c r="E21" s="84"/>
      <c r="F21" s="84"/>
      <c r="G21" s="85"/>
      <c r="H21" s="84"/>
      <c r="I21" s="84"/>
      <c r="J21" s="84"/>
      <c r="K21" s="85"/>
      <c r="L21" s="84"/>
      <c r="M21" s="84"/>
      <c r="N21" s="84"/>
      <c r="O21" s="85"/>
      <c r="P21" s="84"/>
      <c r="Q21" s="84"/>
      <c r="R21" s="84"/>
    </row>
    <row r="22" spans="2:23" x14ac:dyDescent="0.2">
      <c r="B22" s="172"/>
      <c r="C22" s="86" t="s">
        <v>8</v>
      </c>
      <c r="D22" s="84"/>
      <c r="E22" s="84"/>
      <c r="F22" s="84"/>
      <c r="G22" s="85"/>
      <c r="H22" s="84"/>
      <c r="I22" s="84"/>
      <c r="J22" s="84"/>
      <c r="K22" s="85"/>
      <c r="L22" s="84"/>
      <c r="M22" s="84"/>
      <c r="N22" s="84"/>
      <c r="O22" s="85"/>
      <c r="P22" s="84"/>
      <c r="Q22" s="84"/>
      <c r="R22" s="84"/>
    </row>
    <row r="23" spans="2:23" x14ac:dyDescent="0.2">
      <c r="B23" s="172"/>
      <c r="C23" s="86" t="s">
        <v>9</v>
      </c>
      <c r="D23" s="84"/>
      <c r="E23" s="84"/>
      <c r="F23" s="84"/>
      <c r="G23" s="85"/>
      <c r="H23" s="84"/>
      <c r="I23" s="84"/>
      <c r="J23" s="84"/>
      <c r="K23" s="85"/>
      <c r="L23" s="84"/>
      <c r="M23" s="84"/>
      <c r="N23" s="84"/>
      <c r="O23" s="85"/>
      <c r="P23" s="84"/>
      <c r="Q23" s="84"/>
      <c r="R23" s="84"/>
    </row>
    <row r="24" spans="2:23" x14ac:dyDescent="0.2">
      <c r="B24" s="172"/>
      <c r="C24" s="86" t="s">
        <v>10</v>
      </c>
      <c r="D24" s="84"/>
      <c r="E24" s="84"/>
      <c r="F24" s="84"/>
      <c r="G24" s="85"/>
      <c r="H24" s="84"/>
      <c r="I24" s="84"/>
      <c r="J24" s="84"/>
      <c r="K24" s="85"/>
      <c r="L24" s="84"/>
      <c r="M24" s="84"/>
      <c r="N24" s="84"/>
      <c r="O24" s="85"/>
      <c r="P24" s="84"/>
      <c r="Q24" s="84"/>
      <c r="R24" s="84"/>
    </row>
    <row r="25" spans="2:23" x14ac:dyDescent="0.2">
      <c r="B25" s="173"/>
      <c r="C25" s="87" t="s">
        <v>11</v>
      </c>
      <c r="D25" s="88"/>
      <c r="E25" s="88"/>
      <c r="F25" s="88"/>
      <c r="G25" s="89"/>
      <c r="H25" s="88"/>
      <c r="I25" s="88"/>
      <c r="J25" s="88"/>
      <c r="K25" s="89"/>
      <c r="L25" s="88"/>
      <c r="M25" s="88"/>
      <c r="N25" s="88"/>
      <c r="O25" s="89"/>
      <c r="P25" s="88"/>
      <c r="Q25" s="88"/>
      <c r="R25" s="88"/>
    </row>
    <row r="26" spans="2:23" x14ac:dyDescent="0.2">
      <c r="B26" s="167" t="s">
        <v>14</v>
      </c>
      <c r="C26" s="167"/>
      <c r="D26" s="6">
        <f>SUM(D10:D25)</f>
        <v>505804.10199466988</v>
      </c>
      <c r="E26" s="6">
        <f t="shared" ref="E26" si="0">SUM(E10:E25)</f>
        <v>321811.20982142858</v>
      </c>
      <c r="F26" s="6">
        <f>SUM(F10:F25)</f>
        <v>190120.04408187108</v>
      </c>
      <c r="G26" s="3"/>
      <c r="H26" s="6">
        <f>SUM(H10:H25)</f>
        <v>267873.75101519027</v>
      </c>
      <c r="I26" s="6">
        <f t="shared" ref="I26" si="1">SUM(I10:I25)</f>
        <v>325452.82611607143</v>
      </c>
      <c r="J26" s="6">
        <f>SUM(J10:J25)</f>
        <v>193944.06494312722</v>
      </c>
      <c r="K26" s="4"/>
      <c r="L26" s="6">
        <f>SUM(L10:L25)</f>
        <v>278588.70105579786</v>
      </c>
      <c r="M26" s="6">
        <f t="shared" ref="M26" si="2">SUM(M10:M25)</f>
        <v>335216.72089955356</v>
      </c>
      <c r="N26" s="6">
        <f>SUM(N10:N25)</f>
        <v>193377.75421642099</v>
      </c>
      <c r="O26" s="4"/>
      <c r="P26" s="6">
        <f>SUM(P10:P25)</f>
        <v>276742.59240554983</v>
      </c>
      <c r="Q26" s="6">
        <f>SUM(Q10:Q25)</f>
        <v>347240.81252654019</v>
      </c>
      <c r="R26" s="6">
        <f>SUM(R10:R25)</f>
        <v>242088.29204482242</v>
      </c>
    </row>
    <row r="27" spans="2:23" x14ac:dyDescent="0.2">
      <c r="B27" s="168" t="s">
        <v>13</v>
      </c>
      <c r="C27" s="168"/>
      <c r="D27" s="43">
        <f>D26*15%</f>
        <v>75870.615299200479</v>
      </c>
      <c r="E27" s="43">
        <f t="shared" ref="E27:F27" si="3">E26*15%</f>
        <v>48271.681473214288</v>
      </c>
      <c r="F27" s="43">
        <f t="shared" si="3"/>
        <v>28518.00661228066</v>
      </c>
      <c r="G27" s="4"/>
      <c r="H27" s="43">
        <f>H26*15%</f>
        <v>40181.062652278539</v>
      </c>
      <c r="I27" s="43">
        <f t="shared" ref="I27" si="4">I26*15%</f>
        <v>48817.923917410713</v>
      </c>
      <c r="J27" s="43">
        <f t="shared" ref="J27" si="5">J26*15%</f>
        <v>29091.609741469081</v>
      </c>
      <c r="K27" s="4"/>
      <c r="L27" s="43">
        <f>L26*15%</f>
        <v>41788.30515836968</v>
      </c>
      <c r="M27" s="43">
        <f t="shared" ref="M27" si="6">M26*15%</f>
        <v>50282.508134933036</v>
      </c>
      <c r="N27" s="43">
        <f t="shared" ref="N27" si="7">N26*15%</f>
        <v>29006.663132463149</v>
      </c>
      <c r="O27" s="4"/>
      <c r="P27" s="43">
        <f>P26*15%</f>
        <v>41511.388860832471</v>
      </c>
      <c r="Q27" s="43">
        <f t="shared" ref="Q27" si="8">Q26*15%</f>
        <v>52086.12187898103</v>
      </c>
      <c r="R27" s="43">
        <f t="shared" ref="R27" si="9">R26*15%</f>
        <v>36313.24380672336</v>
      </c>
    </row>
    <row r="28" spans="2:23" x14ac:dyDescent="0.2">
      <c r="B28" s="154" t="s">
        <v>15</v>
      </c>
      <c r="C28" s="154"/>
      <c r="D28" s="5">
        <f t="shared" ref="D28:F28" si="10">D27+D26</f>
        <v>581674.7172938704</v>
      </c>
      <c r="E28" s="5">
        <f t="shared" si="10"/>
        <v>370082.89129464288</v>
      </c>
      <c r="F28" s="5">
        <f t="shared" si="10"/>
        <v>218638.05069415172</v>
      </c>
      <c r="G28" s="4"/>
      <c r="H28" s="5">
        <f t="shared" ref="H28:J28" si="11">H27+H26</f>
        <v>308054.81366746878</v>
      </c>
      <c r="I28" s="5">
        <f t="shared" si="11"/>
        <v>374270.75003348215</v>
      </c>
      <c r="J28" s="5">
        <f t="shared" si="11"/>
        <v>223035.67468459631</v>
      </c>
      <c r="K28" s="4"/>
      <c r="L28" s="5">
        <f t="shared" ref="L28:N28" si="12">L27+L26</f>
        <v>320377.00621416757</v>
      </c>
      <c r="M28" s="5">
        <f t="shared" si="12"/>
        <v>385499.22903448658</v>
      </c>
      <c r="N28" s="5">
        <f t="shared" si="12"/>
        <v>222384.41734888413</v>
      </c>
      <c r="O28" s="4"/>
      <c r="P28" s="5">
        <f t="shared" ref="P28:R28" si="13">P27+P26</f>
        <v>318253.98126638232</v>
      </c>
      <c r="Q28" s="5">
        <f t="shared" si="13"/>
        <v>399326.9344055212</v>
      </c>
      <c r="R28" s="5">
        <f t="shared" si="13"/>
        <v>278401.53585154575</v>
      </c>
    </row>
    <row r="29" spans="2:23" x14ac:dyDescent="0.2">
      <c r="B29" s="150" t="s">
        <v>19</v>
      </c>
      <c r="C29" s="150"/>
      <c r="D29" s="166">
        <f>SUM(D28:F28)</f>
        <v>1170395.659282665</v>
      </c>
      <c r="E29" s="166"/>
      <c r="F29" s="166"/>
      <c r="G29" s="44"/>
      <c r="H29" s="166">
        <f>SUM(H28:J28)</f>
        <v>905361.23838554719</v>
      </c>
      <c r="I29" s="166"/>
      <c r="J29" s="166"/>
      <c r="K29" s="44"/>
      <c r="L29" s="166">
        <f>SUM(L28:N28)</f>
        <v>928260.65259753831</v>
      </c>
      <c r="M29" s="166"/>
      <c r="N29" s="166"/>
      <c r="O29" s="44"/>
      <c r="P29" s="166">
        <f>SUM(P28:R28)</f>
        <v>995982.45152344927</v>
      </c>
      <c r="Q29" s="166"/>
      <c r="R29" s="166"/>
      <c r="T29" s="9"/>
      <c r="U29" s="9"/>
      <c r="V29" s="9"/>
      <c r="W29" s="9"/>
    </row>
    <row r="30" spans="2:23" s="9" customFormat="1" ht="16" x14ac:dyDescent="0.2">
      <c r="B30" s="151" t="s">
        <v>20</v>
      </c>
      <c r="C30" s="151"/>
      <c r="D30" s="163">
        <f>P29+L29+H29+D29</f>
        <v>4000000.0017891992</v>
      </c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5"/>
      <c r="T30" s="1"/>
      <c r="U30" s="1"/>
      <c r="V30" s="1"/>
      <c r="W30" s="1"/>
    </row>
  </sheetData>
  <mergeCells count="22">
    <mergeCell ref="B13:C13"/>
    <mergeCell ref="B14:B19"/>
    <mergeCell ref="B20:B25"/>
    <mergeCell ref="B8:C8"/>
    <mergeCell ref="D8:F8"/>
    <mergeCell ref="B9:C9"/>
    <mergeCell ref="D30:R30"/>
    <mergeCell ref="B30:C30"/>
    <mergeCell ref="H8:J8"/>
    <mergeCell ref="L8:N8"/>
    <mergeCell ref="P8:R8"/>
    <mergeCell ref="H29:J29"/>
    <mergeCell ref="L29:N29"/>
    <mergeCell ref="P29:R29"/>
    <mergeCell ref="B26:C26"/>
    <mergeCell ref="B27:C27"/>
    <mergeCell ref="B28:C28"/>
    <mergeCell ref="B29:C29"/>
    <mergeCell ref="D29:F29"/>
    <mergeCell ref="B10:C10"/>
    <mergeCell ref="B11:C11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U30"/>
  <sheetViews>
    <sheetView topLeftCell="A4" workbookViewId="0">
      <selection activeCell="L28" sqref="L28"/>
    </sheetView>
  </sheetViews>
  <sheetFormatPr baseColWidth="10" defaultColWidth="9.1640625" defaultRowHeight="15" x14ac:dyDescent="0.2"/>
  <cols>
    <col min="1" max="1" width="9.1640625" style="1"/>
    <col min="2" max="2" width="18.5" style="1" customWidth="1"/>
    <col min="3" max="3" width="33.83203125" style="1" bestFit="1" customWidth="1"/>
    <col min="4" max="7" width="13.83203125" style="1" customWidth="1"/>
    <col min="8" max="8" width="1.6640625" style="1" customWidth="1"/>
    <col min="9" max="12" width="13.83203125" style="1" customWidth="1"/>
    <col min="13" max="13" width="1.5" style="1" customWidth="1"/>
    <col min="14" max="17" width="13.83203125" style="1" customWidth="1"/>
    <col min="18" max="16384" width="9.1640625" style="1"/>
  </cols>
  <sheetData>
    <row r="8" spans="2:21" s="9" customFormat="1" x14ac:dyDescent="0.2">
      <c r="B8" s="160"/>
      <c r="C8" s="162"/>
      <c r="D8" s="151">
        <v>2019</v>
      </c>
      <c r="E8" s="151"/>
      <c r="F8" s="151"/>
      <c r="G8" s="151"/>
      <c r="H8" s="10"/>
      <c r="I8" s="151">
        <v>2020</v>
      </c>
      <c r="J8" s="151"/>
      <c r="K8" s="151"/>
      <c r="L8" s="151"/>
      <c r="M8" s="10"/>
      <c r="N8" s="151">
        <v>2021</v>
      </c>
      <c r="O8" s="151"/>
      <c r="P8" s="151"/>
      <c r="Q8" s="151"/>
      <c r="R8" s="1"/>
    </row>
    <row r="9" spans="2:21" x14ac:dyDescent="0.2">
      <c r="B9" s="158"/>
      <c r="C9" s="159"/>
      <c r="D9" s="2" t="s">
        <v>36</v>
      </c>
      <c r="E9" s="2" t="s">
        <v>37</v>
      </c>
      <c r="F9" s="2" t="s">
        <v>17</v>
      </c>
      <c r="G9" s="2" t="s">
        <v>18</v>
      </c>
      <c r="H9" s="3"/>
      <c r="I9" s="2" t="s">
        <v>36</v>
      </c>
      <c r="J9" s="2" t="s">
        <v>37</v>
      </c>
      <c r="K9" s="2" t="s">
        <v>17</v>
      </c>
      <c r="L9" s="2" t="s">
        <v>18</v>
      </c>
      <c r="M9" s="3"/>
      <c r="N9" s="2" t="s">
        <v>36</v>
      </c>
      <c r="O9" s="2" t="s">
        <v>37</v>
      </c>
      <c r="P9" s="2" t="s">
        <v>17</v>
      </c>
      <c r="Q9" s="2" t="s">
        <v>18</v>
      </c>
      <c r="U9" s="9"/>
    </row>
    <row r="10" spans="2:21" x14ac:dyDescent="0.2">
      <c r="B10" s="169" t="s">
        <v>1</v>
      </c>
      <c r="C10" s="169"/>
      <c r="D10" s="82">
        <v>72536.51951886047</v>
      </c>
      <c r="E10" s="82"/>
      <c r="F10" s="82">
        <v>13498.102596659368</v>
      </c>
      <c r="G10" s="82">
        <v>34408.426653424787</v>
      </c>
      <c r="H10" s="83"/>
      <c r="I10" s="82">
        <v>113858.90497643947</v>
      </c>
      <c r="J10" s="82">
        <v>29318.431105556287</v>
      </c>
      <c r="K10" s="82"/>
      <c r="L10" s="82">
        <v>37669.60669805792</v>
      </c>
      <c r="M10" s="83"/>
      <c r="N10" s="82">
        <v>100950.63530599274</v>
      </c>
      <c r="O10" s="82"/>
      <c r="P10" s="82"/>
      <c r="Q10" s="82">
        <v>29204.284063499646</v>
      </c>
    </row>
    <row r="11" spans="2:21" x14ac:dyDescent="0.2">
      <c r="B11" s="170" t="s">
        <v>2</v>
      </c>
      <c r="C11" s="170"/>
      <c r="D11" s="84">
        <v>7755.7824000000001</v>
      </c>
      <c r="E11" s="84"/>
      <c r="F11" s="84">
        <v>15688</v>
      </c>
      <c r="G11" s="84">
        <v>0</v>
      </c>
      <c r="H11" s="85"/>
      <c r="I11" s="84">
        <v>7858.24</v>
      </c>
      <c r="J11" s="84">
        <v>14214</v>
      </c>
      <c r="K11" s="84"/>
      <c r="L11" s="84">
        <v>5708.7749999999996</v>
      </c>
      <c r="M11" s="85"/>
      <c r="N11" s="84">
        <v>8172.5696000000007</v>
      </c>
      <c r="O11" s="84"/>
      <c r="P11" s="84"/>
      <c r="Q11" s="84">
        <v>0</v>
      </c>
    </row>
    <row r="12" spans="2:21" x14ac:dyDescent="0.2">
      <c r="B12" s="170" t="s">
        <v>3</v>
      </c>
      <c r="C12" s="170"/>
      <c r="D12" s="84">
        <v>6050</v>
      </c>
      <c r="E12" s="84"/>
      <c r="F12" s="84">
        <v>600</v>
      </c>
      <c r="G12" s="84">
        <v>0</v>
      </c>
      <c r="H12" s="85"/>
      <c r="I12" s="84">
        <v>0</v>
      </c>
      <c r="J12" s="84">
        <v>927</v>
      </c>
      <c r="K12" s="84"/>
      <c r="L12" s="84">
        <v>0</v>
      </c>
      <c r="M12" s="85"/>
      <c r="N12" s="84">
        <v>0</v>
      </c>
      <c r="O12" s="84"/>
      <c r="P12" s="84"/>
      <c r="Q12" s="84">
        <v>0</v>
      </c>
    </row>
    <row r="13" spans="2:21" x14ac:dyDescent="0.2">
      <c r="B13" s="170" t="s">
        <v>4</v>
      </c>
      <c r="C13" s="170"/>
      <c r="D13" s="84">
        <v>38326.000440097501</v>
      </c>
      <c r="E13" s="84"/>
      <c r="F13" s="84">
        <v>4635.4648567631002</v>
      </c>
      <c r="G13" s="84">
        <v>10517.583190046118</v>
      </c>
      <c r="H13" s="85"/>
      <c r="I13" s="84">
        <v>38266.344190692536</v>
      </c>
      <c r="J13" s="84">
        <v>18749.845825114498</v>
      </c>
      <c r="K13" s="84"/>
      <c r="L13" s="84">
        <v>10508.309351986938</v>
      </c>
      <c r="M13" s="85"/>
      <c r="N13" s="84">
        <v>39796.997958320237</v>
      </c>
      <c r="O13" s="84"/>
      <c r="P13" s="84"/>
      <c r="Q13" s="84">
        <v>10823.558632546545</v>
      </c>
    </row>
    <row r="14" spans="2:21" x14ac:dyDescent="0.2">
      <c r="B14" s="171" t="s">
        <v>5</v>
      </c>
      <c r="C14" s="86" t="s">
        <v>6</v>
      </c>
      <c r="D14" s="84">
        <v>0</v>
      </c>
      <c r="E14" s="84"/>
      <c r="F14" s="84"/>
      <c r="G14" s="84"/>
      <c r="H14" s="85"/>
      <c r="I14" s="84"/>
      <c r="J14" s="84"/>
      <c r="K14" s="84"/>
      <c r="L14" s="84"/>
      <c r="M14" s="85"/>
      <c r="N14" s="84"/>
      <c r="O14" s="84"/>
      <c r="P14" s="84"/>
      <c r="Q14" s="84"/>
    </row>
    <row r="15" spans="2:21" x14ac:dyDescent="0.2">
      <c r="B15" s="171"/>
      <c r="C15" s="86" t="s">
        <v>7</v>
      </c>
      <c r="D15" s="84">
        <v>35000</v>
      </c>
      <c r="E15" s="84"/>
      <c r="F15" s="84">
        <v>37280</v>
      </c>
      <c r="G15" s="84">
        <v>73994</v>
      </c>
      <c r="H15" s="85"/>
      <c r="I15" s="84"/>
      <c r="J15" s="84">
        <v>72357.5</v>
      </c>
      <c r="K15" s="84"/>
      <c r="L15" s="84">
        <v>78894.395000000004</v>
      </c>
      <c r="M15" s="85"/>
      <c r="N15" s="84"/>
      <c r="O15" s="84"/>
      <c r="P15" s="84"/>
      <c r="Q15" s="84">
        <v>81261.226849999992</v>
      </c>
    </row>
    <row r="16" spans="2:21" x14ac:dyDescent="0.2">
      <c r="B16" s="171"/>
      <c r="C16" s="86" t="s">
        <v>8</v>
      </c>
      <c r="D16" s="84">
        <v>13280.400000000001</v>
      </c>
      <c r="E16" s="84"/>
      <c r="F16" s="84"/>
      <c r="G16" s="84"/>
      <c r="H16" s="85"/>
      <c r="I16" s="84">
        <v>13000</v>
      </c>
      <c r="J16" s="84"/>
      <c r="K16" s="84"/>
      <c r="L16" s="84"/>
      <c r="M16" s="85"/>
      <c r="N16" s="84">
        <v>13520.000000000002</v>
      </c>
      <c r="O16" s="84"/>
      <c r="P16" s="84"/>
      <c r="Q16" s="84"/>
    </row>
    <row r="17" spans="2:21" x14ac:dyDescent="0.2">
      <c r="B17" s="171"/>
      <c r="C17" s="86" t="s">
        <v>9</v>
      </c>
      <c r="D17" s="84">
        <v>26560.800000000003</v>
      </c>
      <c r="E17" s="84"/>
      <c r="F17" s="84"/>
      <c r="G17" s="84"/>
      <c r="H17" s="85"/>
      <c r="I17" s="84">
        <v>26000</v>
      </c>
      <c r="J17" s="84"/>
      <c r="K17" s="84"/>
      <c r="L17" s="84"/>
      <c r="M17" s="85"/>
      <c r="N17" s="84">
        <v>27040.000000000004</v>
      </c>
      <c r="O17" s="84"/>
      <c r="P17" s="84"/>
      <c r="Q17" s="84"/>
    </row>
    <row r="18" spans="2:21" x14ac:dyDescent="0.2">
      <c r="B18" s="171"/>
      <c r="C18" s="86" t="s">
        <v>10</v>
      </c>
      <c r="D18" s="84">
        <v>23904.720000000001</v>
      </c>
      <c r="E18" s="84"/>
      <c r="F18" s="84"/>
      <c r="G18" s="84"/>
      <c r="H18" s="85"/>
      <c r="I18" s="84">
        <v>23400</v>
      </c>
      <c r="J18" s="84"/>
      <c r="K18" s="84"/>
      <c r="L18" s="84"/>
      <c r="M18" s="85"/>
      <c r="N18" s="84">
        <v>24338</v>
      </c>
      <c r="O18" s="84"/>
      <c r="P18" s="84"/>
      <c r="Q18" s="84"/>
    </row>
    <row r="19" spans="2:21" x14ac:dyDescent="0.2">
      <c r="B19" s="171"/>
      <c r="C19" s="86" t="s">
        <v>11</v>
      </c>
      <c r="D19" s="84"/>
      <c r="E19" s="84"/>
      <c r="F19" s="84"/>
      <c r="G19" s="84"/>
      <c r="H19" s="85"/>
      <c r="I19" s="84"/>
      <c r="J19" s="84"/>
      <c r="K19" s="84"/>
      <c r="L19" s="84"/>
      <c r="M19" s="85"/>
      <c r="N19" s="84"/>
      <c r="O19" s="84"/>
      <c r="P19" s="84"/>
      <c r="Q19" s="84"/>
    </row>
    <row r="20" spans="2:21" x14ac:dyDescent="0.2">
      <c r="B20" s="172" t="s">
        <v>12</v>
      </c>
      <c r="C20" s="86" t="s">
        <v>6</v>
      </c>
      <c r="D20" s="84"/>
      <c r="E20" s="84"/>
      <c r="F20" s="84"/>
      <c r="G20" s="84"/>
      <c r="H20" s="85"/>
      <c r="I20" s="84"/>
      <c r="J20" s="84"/>
      <c r="K20" s="84"/>
      <c r="L20" s="84"/>
      <c r="M20" s="85"/>
      <c r="N20" s="84"/>
      <c r="O20" s="84"/>
      <c r="P20" s="84"/>
      <c r="Q20" s="84"/>
    </row>
    <row r="21" spans="2:21" x14ac:dyDescent="0.2">
      <c r="B21" s="172"/>
      <c r="C21" s="86" t="s">
        <v>7</v>
      </c>
      <c r="D21" s="84"/>
      <c r="E21" s="84"/>
      <c r="F21" s="84"/>
      <c r="G21" s="84"/>
      <c r="H21" s="85"/>
      <c r="I21" s="84"/>
      <c r="J21" s="84"/>
      <c r="K21" s="84"/>
      <c r="L21" s="84"/>
      <c r="M21" s="85"/>
      <c r="N21" s="84"/>
      <c r="O21" s="84"/>
      <c r="P21" s="84"/>
      <c r="Q21" s="84"/>
    </row>
    <row r="22" spans="2:21" x14ac:dyDescent="0.2">
      <c r="B22" s="172"/>
      <c r="C22" s="86" t="s">
        <v>8</v>
      </c>
      <c r="D22" s="84"/>
      <c r="E22" s="84"/>
      <c r="F22" s="84"/>
      <c r="G22" s="84"/>
      <c r="H22" s="85"/>
      <c r="I22" s="84"/>
      <c r="J22" s="84"/>
      <c r="K22" s="84"/>
      <c r="L22" s="84"/>
      <c r="M22" s="85"/>
      <c r="N22" s="84"/>
      <c r="O22" s="84"/>
      <c r="P22" s="84"/>
      <c r="Q22" s="84"/>
    </row>
    <row r="23" spans="2:21" x14ac:dyDescent="0.2">
      <c r="B23" s="172"/>
      <c r="C23" s="86" t="s">
        <v>9</v>
      </c>
      <c r="D23" s="84"/>
      <c r="E23" s="84"/>
      <c r="F23" s="84"/>
      <c r="G23" s="84"/>
      <c r="H23" s="85"/>
      <c r="I23" s="84"/>
      <c r="J23" s="84"/>
      <c r="K23" s="84"/>
      <c r="L23" s="84"/>
      <c r="M23" s="85"/>
      <c r="N23" s="84"/>
      <c r="O23" s="84"/>
      <c r="P23" s="84"/>
      <c r="Q23" s="84"/>
    </row>
    <row r="24" spans="2:21" x14ac:dyDescent="0.2">
      <c r="B24" s="172"/>
      <c r="C24" s="86" t="s">
        <v>10</v>
      </c>
      <c r="D24" s="84"/>
      <c r="E24" s="84"/>
      <c r="F24" s="84"/>
      <c r="G24" s="84"/>
      <c r="H24" s="85"/>
      <c r="I24" s="84"/>
      <c r="J24" s="84"/>
      <c r="K24" s="84"/>
      <c r="L24" s="84"/>
      <c r="M24" s="85"/>
      <c r="N24" s="84"/>
      <c r="O24" s="84"/>
      <c r="P24" s="84"/>
      <c r="Q24" s="84"/>
    </row>
    <row r="25" spans="2:21" x14ac:dyDescent="0.2">
      <c r="B25" s="173"/>
      <c r="C25" s="87" t="s">
        <v>11</v>
      </c>
      <c r="D25" s="88"/>
      <c r="E25" s="88"/>
      <c r="F25" s="88"/>
      <c r="G25" s="88"/>
      <c r="H25" s="89"/>
      <c r="I25" s="88"/>
      <c r="J25" s="88"/>
      <c r="K25" s="88"/>
      <c r="L25" s="88"/>
      <c r="M25" s="89"/>
      <c r="N25" s="88"/>
      <c r="O25" s="88"/>
      <c r="P25" s="88"/>
      <c r="Q25" s="88"/>
    </row>
    <row r="26" spans="2:21" x14ac:dyDescent="0.2">
      <c r="B26" s="167" t="s">
        <v>14</v>
      </c>
      <c r="C26" s="167"/>
      <c r="D26" s="6">
        <f>SUM(D10:D25)</f>
        <v>223414.22235895795</v>
      </c>
      <c r="E26" s="6">
        <f t="shared" ref="E26:G26" si="0">SUM(E10:E25)</f>
        <v>0</v>
      </c>
      <c r="F26" s="6">
        <f t="shared" si="0"/>
        <v>71701.567453422467</v>
      </c>
      <c r="G26" s="6">
        <f t="shared" si="0"/>
        <v>118920.00984347091</v>
      </c>
      <c r="H26" s="3"/>
      <c r="I26" s="6">
        <f>SUM(I10:I25)</f>
        <v>222383.48916713201</v>
      </c>
      <c r="J26" s="6">
        <f t="shared" ref="J26" si="1">SUM(J10:J25)</f>
        <v>135566.77693067078</v>
      </c>
      <c r="K26" s="6">
        <f t="shared" ref="K26" si="2">SUM(K10:K25)</f>
        <v>0</v>
      </c>
      <c r="L26" s="6">
        <f t="shared" ref="L26" si="3">SUM(L10:L25)</f>
        <v>132781.08605004486</v>
      </c>
      <c r="M26" s="3"/>
      <c r="N26" s="6">
        <f>SUM(N10:N25)</f>
        <v>213818.20286431297</v>
      </c>
      <c r="O26" s="6">
        <f t="shared" ref="O26" si="4">SUM(O10:O25)</f>
        <v>0</v>
      </c>
      <c r="P26" s="6">
        <f t="shared" ref="P26" si="5">SUM(P10:P25)</f>
        <v>0</v>
      </c>
      <c r="Q26" s="6">
        <f t="shared" ref="Q26" si="6">SUM(Q10:Q25)</f>
        <v>121289.06954604619</v>
      </c>
    </row>
    <row r="27" spans="2:21" x14ac:dyDescent="0.2">
      <c r="B27" s="168" t="s">
        <v>13</v>
      </c>
      <c r="C27" s="168"/>
      <c r="D27" s="43">
        <f t="shared" ref="D27" si="7">D26*20.98%</f>
        <v>46872.303850909382</v>
      </c>
      <c r="E27" s="43">
        <f t="shared" ref="E27" si="8">E26*20.98%</f>
        <v>0</v>
      </c>
      <c r="F27" s="43">
        <f t="shared" ref="F27" si="9">F26*20.98%</f>
        <v>15042.988851728034</v>
      </c>
      <c r="G27" s="43">
        <f t="shared" ref="G27" si="10">G26*20.98%</f>
        <v>24949.418065160196</v>
      </c>
      <c r="H27" s="4"/>
      <c r="I27" s="43">
        <f t="shared" ref="I27" si="11">I26*20.98%</f>
        <v>46656.056027264298</v>
      </c>
      <c r="J27" s="43">
        <f t="shared" ref="J27" si="12">J26*20.98%</f>
        <v>28441.909800054731</v>
      </c>
      <c r="K27" s="43">
        <f t="shared" ref="K27" si="13">K26*20.98%</f>
        <v>0</v>
      </c>
      <c r="L27" s="43">
        <f t="shared" ref="L27" si="14">L26*20.98%</f>
        <v>27857.471853299416</v>
      </c>
      <c r="M27" s="4"/>
      <c r="N27" s="43">
        <f t="shared" ref="N27" si="15">N26*20.98%</f>
        <v>44859.058960932867</v>
      </c>
      <c r="O27" s="43">
        <f t="shared" ref="O27" si="16">O26*20.98%</f>
        <v>0</v>
      </c>
      <c r="P27" s="43">
        <f t="shared" ref="P27" si="17">P26*20.98%</f>
        <v>0</v>
      </c>
      <c r="Q27" s="43">
        <f t="shared" ref="Q27" si="18">Q26*20.98%</f>
        <v>25446.446790760492</v>
      </c>
    </row>
    <row r="28" spans="2:21" x14ac:dyDescent="0.2">
      <c r="B28" s="154" t="s">
        <v>15</v>
      </c>
      <c r="C28" s="154"/>
      <c r="D28" s="5">
        <f t="shared" ref="D28" si="19">D27+D26</f>
        <v>270286.52620986733</v>
      </c>
      <c r="E28" s="5">
        <f t="shared" ref="E28:G28" si="20">E27+E26</f>
        <v>0</v>
      </c>
      <c r="F28" s="5">
        <f t="shared" si="20"/>
        <v>86744.556305150501</v>
      </c>
      <c r="G28" s="5">
        <f t="shared" si="20"/>
        <v>143869.4279086311</v>
      </c>
      <c r="H28" s="4"/>
      <c r="I28" s="5">
        <f t="shared" ref="I28:L28" si="21">I27+I26</f>
        <v>269039.54519439628</v>
      </c>
      <c r="J28" s="5">
        <f t="shared" si="21"/>
        <v>164008.68673072552</v>
      </c>
      <c r="K28" s="5">
        <f t="shared" si="21"/>
        <v>0</v>
      </c>
      <c r="L28" s="5">
        <f t="shared" si="21"/>
        <v>160638.55790334428</v>
      </c>
      <c r="M28" s="4"/>
      <c r="N28" s="5">
        <f t="shared" ref="N28:Q28" si="22">N27+N26</f>
        <v>258677.26182524583</v>
      </c>
      <c r="O28" s="5">
        <f t="shared" si="22"/>
        <v>0</v>
      </c>
      <c r="P28" s="5">
        <f t="shared" si="22"/>
        <v>0</v>
      </c>
      <c r="Q28" s="5">
        <f t="shared" si="22"/>
        <v>146735.51633680667</v>
      </c>
    </row>
    <row r="29" spans="2:21" x14ac:dyDescent="0.2">
      <c r="B29" s="150" t="s">
        <v>19</v>
      </c>
      <c r="C29" s="150"/>
      <c r="D29" s="166">
        <f>SUM(D28:G28)</f>
        <v>500900.51042364893</v>
      </c>
      <c r="E29" s="166"/>
      <c r="F29" s="166"/>
      <c r="G29" s="166"/>
      <c r="H29" s="44"/>
      <c r="I29" s="166">
        <f>SUM(I28:L28)</f>
        <v>593686.78982846602</v>
      </c>
      <c r="J29" s="166"/>
      <c r="K29" s="166"/>
      <c r="L29" s="166"/>
      <c r="M29" s="44"/>
      <c r="N29" s="166">
        <f>SUM(N28:Q28)</f>
        <v>405412.77816205251</v>
      </c>
      <c r="O29" s="166"/>
      <c r="P29" s="166"/>
      <c r="Q29" s="166"/>
      <c r="R29" s="9"/>
      <c r="S29" s="9"/>
      <c r="T29" s="9"/>
      <c r="U29" s="9"/>
    </row>
    <row r="30" spans="2:21" s="9" customFormat="1" ht="16" x14ac:dyDescent="0.2">
      <c r="B30" s="151" t="s">
        <v>20</v>
      </c>
      <c r="C30" s="151"/>
      <c r="D30" s="163">
        <f>D29+I29+N29</f>
        <v>1500000.0784141673</v>
      </c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"/>
      <c r="S30" s="1"/>
      <c r="T30" s="1"/>
      <c r="U30" s="1"/>
    </row>
  </sheetData>
  <mergeCells count="20">
    <mergeCell ref="B20:B25"/>
    <mergeCell ref="B8:C8"/>
    <mergeCell ref="D8:G8"/>
    <mergeCell ref="I8:L8"/>
    <mergeCell ref="N8:Q8"/>
    <mergeCell ref="B9:C9"/>
    <mergeCell ref="B10:C10"/>
    <mergeCell ref="B11:C11"/>
    <mergeCell ref="B12:C12"/>
    <mergeCell ref="B13:C13"/>
    <mergeCell ref="B14:B19"/>
    <mergeCell ref="N29:Q29"/>
    <mergeCell ref="B30:C30"/>
    <mergeCell ref="D30:Q30"/>
    <mergeCell ref="B26:C26"/>
    <mergeCell ref="B27:C27"/>
    <mergeCell ref="B28:C28"/>
    <mergeCell ref="B29:C29"/>
    <mergeCell ref="D29:G29"/>
    <mergeCell ref="I29:L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29"/>
  <sheetViews>
    <sheetView workbookViewId="0">
      <selection activeCell="H33" sqref="H33"/>
    </sheetView>
  </sheetViews>
  <sheetFormatPr baseColWidth="10" defaultColWidth="9.1640625" defaultRowHeight="15" x14ac:dyDescent="0.2"/>
  <cols>
    <col min="1" max="1" width="9.1640625" style="1"/>
    <col min="2" max="2" width="18.5" style="1" customWidth="1"/>
    <col min="3" max="3" width="33.83203125" style="1" bestFit="1" customWidth="1"/>
    <col min="4" max="5" width="13.83203125" style="1" customWidth="1"/>
    <col min="6" max="16384" width="9.1640625" style="1"/>
  </cols>
  <sheetData>
    <row r="8" spans="2:8" s="9" customFormat="1" x14ac:dyDescent="0.2">
      <c r="B8" s="160"/>
      <c r="C8" s="162"/>
      <c r="D8" s="151">
        <v>2019</v>
      </c>
      <c r="E8" s="151"/>
    </row>
    <row r="9" spans="2:8" x14ac:dyDescent="0.2">
      <c r="B9" s="158"/>
      <c r="C9" s="159"/>
      <c r="D9" s="2" t="s">
        <v>36</v>
      </c>
      <c r="E9" s="2" t="s">
        <v>22</v>
      </c>
      <c r="H9" s="9"/>
    </row>
    <row r="10" spans="2:8" x14ac:dyDescent="0.2">
      <c r="B10" s="169" t="s">
        <v>1</v>
      </c>
      <c r="C10" s="169"/>
      <c r="D10" s="82">
        <v>110459.12220908861</v>
      </c>
      <c r="E10" s="82">
        <v>178734.46655853151</v>
      </c>
    </row>
    <row r="11" spans="2:8" x14ac:dyDescent="0.2">
      <c r="B11" s="170" t="s">
        <v>2</v>
      </c>
      <c r="C11" s="170"/>
      <c r="D11" s="84">
        <v>41600</v>
      </c>
      <c r="E11" s="84">
        <v>2140.4109589041095</v>
      </c>
    </row>
    <row r="12" spans="2:8" x14ac:dyDescent="0.2">
      <c r="B12" s="170" t="s">
        <v>3</v>
      </c>
      <c r="C12" s="170"/>
      <c r="D12" s="84"/>
      <c r="E12" s="84">
        <v>1284.2465753424658</v>
      </c>
    </row>
    <row r="13" spans="2:8" x14ac:dyDescent="0.2">
      <c r="B13" s="170" t="s">
        <v>4</v>
      </c>
      <c r="C13" s="170"/>
      <c r="D13" s="84">
        <v>37913.288056129495</v>
      </c>
      <c r="E13" s="84">
        <v>23160.051531720252</v>
      </c>
    </row>
    <row r="14" spans="2:8" x14ac:dyDescent="0.2">
      <c r="B14" s="171" t="s">
        <v>5</v>
      </c>
      <c r="C14" s="86" t="s">
        <v>6</v>
      </c>
      <c r="D14" s="84">
        <v>9500</v>
      </c>
      <c r="E14" s="84">
        <f>12328+8267</f>
        <v>20595</v>
      </c>
    </row>
    <row r="15" spans="2:8" x14ac:dyDescent="0.2">
      <c r="B15" s="171"/>
      <c r="C15" s="86" t="s">
        <v>7</v>
      </c>
      <c r="D15" s="84"/>
      <c r="E15" s="84"/>
    </row>
    <row r="16" spans="2:8" x14ac:dyDescent="0.2">
      <c r="B16" s="171"/>
      <c r="C16" s="86" t="s">
        <v>8</v>
      </c>
      <c r="D16" s="84">
        <v>31564</v>
      </c>
      <c r="E16" s="84">
        <v>11257</v>
      </c>
    </row>
    <row r="17" spans="2:8" x14ac:dyDescent="0.2">
      <c r="B17" s="171"/>
      <c r="C17" s="86" t="s">
        <v>9</v>
      </c>
      <c r="D17" s="84">
        <v>83913</v>
      </c>
      <c r="E17" s="84">
        <f>54770+11438+13805+15208+5370</f>
        <v>100591</v>
      </c>
    </row>
    <row r="18" spans="2:8" x14ac:dyDescent="0.2">
      <c r="B18" s="171"/>
      <c r="C18" s="86" t="s">
        <v>10</v>
      </c>
      <c r="D18" s="84">
        <v>10518</v>
      </c>
      <c r="E18" s="84">
        <f>11014+22358</f>
        <v>33372</v>
      </c>
    </row>
    <row r="19" spans="2:8" x14ac:dyDescent="0.2">
      <c r="B19" s="171"/>
      <c r="C19" s="86" t="s">
        <v>11</v>
      </c>
      <c r="D19" s="84">
        <v>8288</v>
      </c>
      <c r="E19" s="84">
        <f>15839+38749</f>
        <v>54588</v>
      </c>
    </row>
    <row r="20" spans="2:8" x14ac:dyDescent="0.2">
      <c r="B20" s="172" t="s">
        <v>12</v>
      </c>
      <c r="C20" s="86" t="s">
        <v>6</v>
      </c>
      <c r="D20" s="84"/>
      <c r="E20" s="84"/>
    </row>
    <row r="21" spans="2:8" x14ac:dyDescent="0.2">
      <c r="B21" s="172"/>
      <c r="C21" s="86" t="s">
        <v>7</v>
      </c>
      <c r="D21" s="84"/>
      <c r="E21" s="84"/>
    </row>
    <row r="22" spans="2:8" x14ac:dyDescent="0.2">
      <c r="B22" s="172"/>
      <c r="C22" s="86" t="s">
        <v>8</v>
      </c>
      <c r="D22" s="84"/>
      <c r="E22" s="84"/>
    </row>
    <row r="23" spans="2:8" x14ac:dyDescent="0.2">
      <c r="B23" s="172"/>
      <c r="C23" s="86" t="s">
        <v>9</v>
      </c>
      <c r="D23" s="84"/>
      <c r="E23" s="84"/>
      <c r="H23" s="7"/>
    </row>
    <row r="24" spans="2:8" x14ac:dyDescent="0.2">
      <c r="B24" s="172"/>
      <c r="C24" s="86" t="s">
        <v>10</v>
      </c>
      <c r="D24" s="84"/>
      <c r="E24" s="84"/>
    </row>
    <row r="25" spans="2:8" x14ac:dyDescent="0.2">
      <c r="B25" s="173"/>
      <c r="C25" s="87" t="s">
        <v>11</v>
      </c>
      <c r="D25" s="88"/>
      <c r="E25" s="88"/>
    </row>
    <row r="26" spans="2:8" x14ac:dyDescent="0.2">
      <c r="B26" s="167" t="s">
        <v>14</v>
      </c>
      <c r="C26" s="167"/>
      <c r="D26" s="6">
        <f>SUM(D10:D25)</f>
        <v>333755.41026521812</v>
      </c>
      <c r="E26" s="6">
        <f t="shared" ref="E26" si="0">SUM(E10:E25)</f>
        <v>425722.17562449834</v>
      </c>
    </row>
    <row r="27" spans="2:8" x14ac:dyDescent="0.2">
      <c r="B27" s="168" t="s">
        <v>13</v>
      </c>
      <c r="C27" s="168"/>
      <c r="D27" s="43">
        <f>D26*10%</f>
        <v>33375.541026521816</v>
      </c>
      <c r="E27" s="43">
        <f>E26*10%</f>
        <v>42572.217562449834</v>
      </c>
    </row>
    <row r="28" spans="2:8" x14ac:dyDescent="0.2">
      <c r="B28" s="154" t="s">
        <v>15</v>
      </c>
      <c r="C28" s="154"/>
      <c r="D28" s="5">
        <f t="shared" ref="D28:E28" si="1">D27+D26</f>
        <v>367130.95129173994</v>
      </c>
      <c r="E28" s="5">
        <f t="shared" si="1"/>
        <v>468294.39318694815</v>
      </c>
    </row>
    <row r="29" spans="2:8" x14ac:dyDescent="0.2">
      <c r="B29" s="150" t="s">
        <v>19</v>
      </c>
      <c r="C29" s="150"/>
      <c r="D29" s="166">
        <f>SUM(D28:E28)</f>
        <v>835425.34447868809</v>
      </c>
      <c r="E29" s="166"/>
      <c r="F29" s="9"/>
      <c r="G29" s="9"/>
      <c r="H29" s="9"/>
    </row>
  </sheetData>
  <mergeCells count="14">
    <mergeCell ref="B8:C8"/>
    <mergeCell ref="D8:E8"/>
    <mergeCell ref="B9:C9"/>
    <mergeCell ref="B10:C10"/>
    <mergeCell ref="B27:C27"/>
    <mergeCell ref="B28:C28"/>
    <mergeCell ref="B29:C29"/>
    <mergeCell ref="D29:E29"/>
    <mergeCell ref="B11:C11"/>
    <mergeCell ref="B12:C12"/>
    <mergeCell ref="B13:C13"/>
    <mergeCell ref="B14:B19"/>
    <mergeCell ref="B20:B25"/>
    <mergeCell ref="B26:C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Z40"/>
  <sheetViews>
    <sheetView tabSelected="1" zoomScale="90" zoomScaleNormal="90" zoomScalePageLayoutView="90" workbookViewId="0">
      <selection activeCell="V19" sqref="V19"/>
    </sheetView>
  </sheetViews>
  <sheetFormatPr baseColWidth="10" defaultColWidth="9.1640625" defaultRowHeight="15" x14ac:dyDescent="0.2"/>
  <cols>
    <col min="1" max="1" width="9.1640625" style="1"/>
    <col min="2" max="2" width="18.1640625" style="1" customWidth="1"/>
    <col min="3" max="3" width="33.83203125" style="1" bestFit="1" customWidth="1"/>
    <col min="4" max="11" width="12.83203125" style="1" customWidth="1"/>
    <col min="12" max="12" width="12.1640625" style="1" customWidth="1"/>
    <col min="13" max="13" width="0.6640625" style="1" customWidth="1"/>
    <col min="14" max="16" width="9.1640625" style="1"/>
    <col min="17" max="17" width="15" style="1" bestFit="1" customWidth="1"/>
    <col min="18" max="19" width="9.1640625" style="1"/>
    <col min="20" max="20" width="13.83203125" style="1" bestFit="1" customWidth="1"/>
    <col min="21" max="21" width="9.1640625" style="1"/>
    <col min="22" max="22" width="10.83203125" style="1" customWidth="1"/>
    <col min="23" max="23" width="1.1640625" style="1" customWidth="1"/>
    <col min="24" max="32" width="9.1640625" style="1"/>
    <col min="33" max="33" width="1.1640625" style="1" customWidth="1"/>
    <col min="34" max="42" width="9.1640625" style="1"/>
    <col min="43" max="43" width="1.6640625" style="1" customWidth="1"/>
    <col min="44" max="16384" width="9.1640625" style="1"/>
  </cols>
  <sheetData>
    <row r="8" spans="2:52" s="9" customFormat="1" x14ac:dyDescent="0.2">
      <c r="B8" s="160"/>
      <c r="C8" s="162"/>
      <c r="D8" s="160">
        <v>2018</v>
      </c>
      <c r="E8" s="161"/>
      <c r="F8" s="161"/>
      <c r="G8" s="161"/>
      <c r="H8" s="161"/>
      <c r="I8" s="161"/>
      <c r="J8" s="161"/>
      <c r="K8" s="161"/>
      <c r="L8" s="162"/>
      <c r="M8" s="10"/>
      <c r="N8" s="160">
        <v>2019</v>
      </c>
      <c r="O8" s="161"/>
      <c r="P8" s="161"/>
      <c r="Q8" s="161"/>
      <c r="R8" s="161"/>
      <c r="S8" s="161"/>
      <c r="T8" s="161"/>
      <c r="U8" s="161"/>
      <c r="V8" s="162"/>
      <c r="W8" s="10"/>
      <c r="X8" s="160">
        <v>2020</v>
      </c>
      <c r="Y8" s="161"/>
      <c r="Z8" s="161"/>
      <c r="AA8" s="161"/>
      <c r="AB8" s="161"/>
      <c r="AC8" s="161"/>
      <c r="AD8" s="161"/>
      <c r="AE8" s="161"/>
      <c r="AF8" s="162"/>
      <c r="AG8" s="10"/>
      <c r="AH8" s="160">
        <v>2021</v>
      </c>
      <c r="AI8" s="161"/>
      <c r="AJ8" s="161"/>
      <c r="AK8" s="161"/>
      <c r="AL8" s="161"/>
      <c r="AM8" s="161"/>
      <c r="AN8" s="161"/>
      <c r="AO8" s="161"/>
      <c r="AP8" s="162"/>
      <c r="AQ8" s="10"/>
      <c r="AR8" s="160">
        <v>2022</v>
      </c>
      <c r="AS8" s="161"/>
      <c r="AT8" s="161"/>
      <c r="AU8" s="161"/>
      <c r="AV8" s="161"/>
      <c r="AW8" s="161"/>
      <c r="AX8" s="161"/>
      <c r="AY8" s="161"/>
      <c r="AZ8" s="162"/>
    </row>
    <row r="9" spans="2:52" ht="30" x14ac:dyDescent="0.2">
      <c r="B9" s="158"/>
      <c r="C9" s="159"/>
      <c r="D9" s="2" t="s">
        <v>16</v>
      </c>
      <c r="E9" s="2" t="s">
        <v>0</v>
      </c>
      <c r="F9" s="2" t="s">
        <v>17</v>
      </c>
      <c r="G9" s="2" t="s">
        <v>22</v>
      </c>
      <c r="H9" s="2" t="s">
        <v>23</v>
      </c>
      <c r="I9" s="2" t="s">
        <v>21</v>
      </c>
      <c r="J9" s="2" t="s">
        <v>36</v>
      </c>
      <c r="K9" s="2" t="s">
        <v>37</v>
      </c>
      <c r="L9" s="2" t="s">
        <v>18</v>
      </c>
      <c r="M9" s="3"/>
      <c r="N9" s="2" t="s">
        <v>16</v>
      </c>
      <c r="O9" s="2" t="s">
        <v>0</v>
      </c>
      <c r="P9" s="2" t="s">
        <v>17</v>
      </c>
      <c r="Q9" s="2" t="s">
        <v>22</v>
      </c>
      <c r="R9" s="2" t="s">
        <v>23</v>
      </c>
      <c r="S9" s="2" t="s">
        <v>21</v>
      </c>
      <c r="T9" s="2" t="s">
        <v>36</v>
      </c>
      <c r="U9" s="2" t="s">
        <v>37</v>
      </c>
      <c r="V9" s="2" t="s">
        <v>18</v>
      </c>
      <c r="W9" s="3"/>
      <c r="X9" s="2" t="s">
        <v>16</v>
      </c>
      <c r="Y9" s="2" t="s">
        <v>0</v>
      </c>
      <c r="Z9" s="2" t="s">
        <v>17</v>
      </c>
      <c r="AA9" s="2" t="s">
        <v>22</v>
      </c>
      <c r="AB9" s="2" t="s">
        <v>23</v>
      </c>
      <c r="AC9" s="2" t="s">
        <v>21</v>
      </c>
      <c r="AD9" s="2" t="s">
        <v>36</v>
      </c>
      <c r="AE9" s="2" t="s">
        <v>37</v>
      </c>
      <c r="AF9" s="2" t="s">
        <v>18</v>
      </c>
      <c r="AG9" s="3"/>
      <c r="AH9" s="2" t="s">
        <v>16</v>
      </c>
      <c r="AI9" s="2" t="s">
        <v>0</v>
      </c>
      <c r="AJ9" s="2" t="s">
        <v>17</v>
      </c>
      <c r="AK9" s="2" t="s">
        <v>22</v>
      </c>
      <c r="AL9" s="2" t="s">
        <v>23</v>
      </c>
      <c r="AM9" s="2" t="s">
        <v>21</v>
      </c>
      <c r="AN9" s="2" t="s">
        <v>36</v>
      </c>
      <c r="AO9" s="2" t="s">
        <v>37</v>
      </c>
      <c r="AP9" s="2" t="s">
        <v>18</v>
      </c>
      <c r="AQ9" s="3"/>
      <c r="AR9" s="2" t="s">
        <v>16</v>
      </c>
      <c r="AS9" s="2" t="s">
        <v>0</v>
      </c>
      <c r="AT9" s="2" t="s">
        <v>17</v>
      </c>
      <c r="AU9" s="2" t="s">
        <v>22</v>
      </c>
      <c r="AV9" s="2" t="s">
        <v>23</v>
      </c>
      <c r="AW9" s="2" t="s">
        <v>21</v>
      </c>
      <c r="AX9" s="2" t="s">
        <v>36</v>
      </c>
      <c r="AY9" s="2" t="s">
        <v>37</v>
      </c>
      <c r="AZ9" s="2" t="s">
        <v>18</v>
      </c>
    </row>
    <row r="10" spans="2:52" x14ac:dyDescent="0.2">
      <c r="B10" s="169" t="s">
        <v>1</v>
      </c>
      <c r="C10" s="169"/>
      <c r="D10" s="82">
        <v>144623</v>
      </c>
      <c r="E10" s="82">
        <v>80749.959999999977</v>
      </c>
      <c r="F10" s="82">
        <v>122871.52999999996</v>
      </c>
      <c r="G10" s="82">
        <f>'Expenditures 2018'!G10+'Expenditures 2018'!N10+'Expenditures 2018'!Q10</f>
        <v>108368.4</v>
      </c>
      <c r="H10" s="82">
        <f>'Expenditures 2018'!H10</f>
        <v>11413.16</v>
      </c>
      <c r="I10" s="82">
        <v>0</v>
      </c>
      <c r="J10" s="82">
        <v>0</v>
      </c>
      <c r="K10" s="82">
        <v>0</v>
      </c>
      <c r="L10" s="82">
        <f>'Expenditures 2018'!J10+'Expenditures 2018'!R10</f>
        <v>158287.91000000006</v>
      </c>
      <c r="M10" s="90"/>
      <c r="N10" s="82">
        <v>176286</v>
      </c>
      <c r="O10" s="82">
        <v>196697</v>
      </c>
      <c r="P10" s="82">
        <f>'Good Venture 2018 - 2021'!N10+'Foundation 1 2019 - 2021'!F10</f>
        <v>225294.10259665936</v>
      </c>
      <c r="Q10" s="82">
        <f>'Good Venture 2018 - 2021'!O10+'Foundation 2 2019 - 2022'!D10+'Effect Hope 2019'!E10</f>
        <v>306763.48786471441</v>
      </c>
      <c r="R10" s="82"/>
      <c r="S10" s="82">
        <f>'Good Venture 2018 - 2021'!Q10+'Foundation 2 2019 - 2022'!E10</f>
        <v>250639</v>
      </c>
      <c r="T10" s="82">
        <f>'Foundation 1 2019 - 2021'!D10+'Effect Hope 2019'!D10</f>
        <v>182995.64172794909</v>
      </c>
      <c r="U10" s="82"/>
      <c r="V10" s="82">
        <f>'Good Venture 2018 - 2021'!R10+'Foundation 2 2019 - 2022'!F10+'Foundation 1 2019 - 2021'!G10</f>
        <v>514876.4748939561</v>
      </c>
      <c r="W10" s="90"/>
      <c r="X10" s="82">
        <v>175918</v>
      </c>
      <c r="Y10" s="82">
        <v>174747</v>
      </c>
      <c r="Z10" s="82">
        <v>218150</v>
      </c>
      <c r="AA10" s="82">
        <f>'Good Venture 2018 - 2021'!W10+'Foundation 2 2019 - 2022'!H10</f>
        <v>210851.40995843022</v>
      </c>
      <c r="AB10" s="82"/>
      <c r="AC10" s="82">
        <f>'Good Venture 2018 - 2021'!Y10+'Foundation 2 2019 - 2022'!I10</f>
        <v>262555</v>
      </c>
      <c r="AD10" s="82">
        <f>'Foundation 1 2019 - 2021'!I10</f>
        <v>113858.90497643947</v>
      </c>
      <c r="AE10" s="82">
        <f>'Foundation 1 2019 - 2021'!J10</f>
        <v>29318.431105556287</v>
      </c>
      <c r="AF10" s="82">
        <f>'Good Venture 2018 - 2021'!Z10+'Foundation 2 2019 - 2022'!J10+'Foundation 1 2019 - 2021'!L10</f>
        <v>551927.28142460517</v>
      </c>
      <c r="AG10" s="90"/>
      <c r="AH10" s="82">
        <v>160614</v>
      </c>
      <c r="AI10" s="82">
        <v>182391</v>
      </c>
      <c r="AJ10" s="82">
        <v>209341</v>
      </c>
      <c r="AK10" s="82">
        <f>'Good Venture 2018 - 2021'!AE10+'Foundation 2 2019 - 2022'!L10</f>
        <v>219883.4663567674</v>
      </c>
      <c r="AL10" s="82"/>
      <c r="AM10" s="82">
        <f>'Good Venture 2018 - 2021'!AG10+'Foundation 2 2019 - 2022'!M10</f>
        <v>254584</v>
      </c>
      <c r="AN10" s="82">
        <f>'Foundation 1 2019 - 2021'!N10</f>
        <v>100950.63530599274</v>
      </c>
      <c r="AO10" s="82"/>
      <c r="AP10" s="82">
        <f>'Good Venture 2018 - 2021'!AH10+'Foundation 2 2019 - 2022'!N10+'Foundation 1 2019 - 2021'!Q10</f>
        <v>590379.1563568433</v>
      </c>
      <c r="AQ10" s="90"/>
      <c r="AR10" s="82"/>
      <c r="AS10" s="82"/>
      <c r="AT10" s="82"/>
      <c r="AU10" s="82">
        <f>'Foundation 2 2019 - 2022'!P10</f>
        <v>137056.82831855811</v>
      </c>
      <c r="AV10" s="82"/>
      <c r="AW10" s="82">
        <f>'Foundation 2 2019 - 2022'!Q10</f>
        <v>175935</v>
      </c>
      <c r="AX10" s="82"/>
      <c r="AY10" s="82"/>
      <c r="AZ10" s="82">
        <f>'Foundation 2 2019 - 2022'!R10</f>
        <v>218094.03321405273</v>
      </c>
    </row>
    <row r="11" spans="2:52" x14ac:dyDescent="0.2">
      <c r="B11" s="170" t="s">
        <v>2</v>
      </c>
      <c r="C11" s="170"/>
      <c r="D11" s="84">
        <v>37061.129999999976</v>
      </c>
      <c r="E11" s="84">
        <v>13988.56</v>
      </c>
      <c r="F11" s="84">
        <v>12058.439999999999</v>
      </c>
      <c r="G11" s="84">
        <f>'Expenditures 2018'!G11+'Expenditures 2018'!N11+'Expenditures 2018'!Q11</f>
        <v>26234.140000000014</v>
      </c>
      <c r="H11" s="84">
        <f>'Expenditures 2018'!H11</f>
        <v>1335.3300000000002</v>
      </c>
      <c r="I11" s="84">
        <v>0</v>
      </c>
      <c r="J11" s="84">
        <v>0</v>
      </c>
      <c r="K11" s="84">
        <v>0</v>
      </c>
      <c r="L11" s="84">
        <f>'Expenditures 2018'!J11+'Expenditures 2018'!R11</f>
        <v>17738.080000000002</v>
      </c>
      <c r="M11" s="91"/>
      <c r="N11" s="84">
        <v>21964.584514323346</v>
      </c>
      <c r="O11" s="84">
        <v>23311.548198198197</v>
      </c>
      <c r="P11" s="84">
        <f>'Good Venture 2018 - 2021'!N11+'Foundation 1 2019 - 2021'!F11</f>
        <v>21606.690004718017</v>
      </c>
      <c r="Q11" s="84">
        <f>'Good Venture 2018 - 2021'!O11+'Foundation 2 2019 - 2022'!D11+'Effect Hope 2019'!E11</f>
        <v>4028.1909589041097</v>
      </c>
      <c r="R11" s="84"/>
      <c r="S11" s="84">
        <f>'Good Venture 2018 - 2021'!Q11+'Foundation 2 2019 - 2022'!E11</f>
        <v>0</v>
      </c>
      <c r="T11" s="84">
        <f>'Foundation 1 2019 - 2021'!D11+'Effect Hope 2019'!D11</f>
        <v>49355.782399999996</v>
      </c>
      <c r="U11" s="84"/>
      <c r="V11" s="84">
        <f>'Good Venture 2018 - 2021'!R11+'Foundation 2 2019 - 2022'!F11+'Foundation 1 2019 - 2021'!G11</f>
        <v>25600</v>
      </c>
      <c r="W11" s="91"/>
      <c r="X11" s="84">
        <v>0</v>
      </c>
      <c r="Y11" s="84">
        <v>24010.894644144144</v>
      </c>
      <c r="Z11" s="84">
        <v>6096.2507048595562</v>
      </c>
      <c r="AA11" s="84">
        <f>'Good Venture 2018 - 2021'!W11+'Foundation 2 2019 - 2022'!H11</f>
        <v>1963.2912000000001</v>
      </c>
      <c r="AB11" s="84"/>
      <c r="AC11" s="84">
        <f>'Good Venture 2018 - 2021'!Y11+'Foundation 2 2019 - 2022'!I11</f>
        <v>0</v>
      </c>
      <c r="AD11" s="84">
        <f>'Foundation 1 2019 - 2021'!I11</f>
        <v>7858.24</v>
      </c>
      <c r="AE11" s="84">
        <f>'Foundation 1 2019 - 2021'!J11</f>
        <v>14214</v>
      </c>
      <c r="AF11" s="84">
        <f>'Good Venture 2018 - 2021'!Z11+'Foundation 2 2019 - 2022'!J11+'Foundation 1 2019 - 2021'!L11</f>
        <v>32076.154999999999</v>
      </c>
      <c r="AG11" s="91"/>
      <c r="AH11" s="84">
        <v>28242.154274876524</v>
      </c>
      <c r="AI11" s="84">
        <v>48083.327445585579</v>
      </c>
      <c r="AJ11" s="84">
        <v>3711.0281999999993</v>
      </c>
      <c r="AK11" s="84">
        <f>'Good Venture 2018 - 2021'!AE11+'Foundation 2 2019 - 2022'!L11</f>
        <v>2041.8228480000002</v>
      </c>
      <c r="AL11" s="84"/>
      <c r="AM11" s="84">
        <f>'Good Venture 2018 - 2021'!AG11+'Foundation 2 2019 - 2022'!M11</f>
        <v>0</v>
      </c>
      <c r="AN11" s="84">
        <f>'Foundation 1 2019 - 2021'!N11</f>
        <v>8172.5696000000007</v>
      </c>
      <c r="AO11" s="84"/>
      <c r="AP11" s="84">
        <f>'Good Venture 2018 - 2021'!AH11+'Foundation 2 2019 - 2022'!N11+'Foundation 1 2019 - 2021'!Q11</f>
        <v>20728.310399999998</v>
      </c>
      <c r="AQ11" s="91"/>
      <c r="AR11" s="84"/>
      <c r="AS11" s="84"/>
      <c r="AT11" s="84"/>
      <c r="AU11" s="84">
        <f>'Foundation 2 2019 - 2022'!P11</f>
        <v>2123.4957619199999</v>
      </c>
      <c r="AV11" s="84"/>
      <c r="AW11" s="84">
        <f>'Foundation 2 2019 - 2022'!Q11</f>
        <v>0</v>
      </c>
      <c r="AX11" s="84"/>
      <c r="AY11" s="84"/>
      <c r="AZ11" s="84">
        <f>'Foundation 2 2019 - 2022'!R11</f>
        <v>11261.644462</v>
      </c>
    </row>
    <row r="12" spans="2:52" x14ac:dyDescent="0.2">
      <c r="B12" s="170" t="s">
        <v>3</v>
      </c>
      <c r="C12" s="170"/>
      <c r="D12" s="84">
        <v>14781.07</v>
      </c>
      <c r="E12" s="84">
        <v>10304.460000000001</v>
      </c>
      <c r="F12" s="84">
        <v>40569.159999999989</v>
      </c>
      <c r="G12" s="84">
        <f>'Expenditures 2018'!G12+'Expenditures 2018'!N12+'Expenditures 2018'!Q12</f>
        <v>9460.42</v>
      </c>
      <c r="H12" s="84">
        <f>'Expenditures 2018'!H12</f>
        <v>42.77</v>
      </c>
      <c r="I12" s="84">
        <v>0</v>
      </c>
      <c r="J12" s="84">
        <v>0</v>
      </c>
      <c r="K12" s="84">
        <v>0</v>
      </c>
      <c r="L12" s="84">
        <f>'Expenditures 2018'!J12+'Expenditures 2018'!R12</f>
        <v>5221.170000000001</v>
      </c>
      <c r="M12" s="91"/>
      <c r="N12" s="84">
        <v>2100</v>
      </c>
      <c r="O12" s="84">
        <v>7110.8172845895406</v>
      </c>
      <c r="P12" s="84">
        <f>'Good Venture 2018 - 2021'!N12+'Foundation 1 2019 - 2021'!F12</f>
        <v>6653.4409199977936</v>
      </c>
      <c r="Q12" s="84">
        <f>'Good Venture 2018 - 2021'!O12+'Foundation 2 2019 - 2022'!D12+'Effect Hope 2019'!E12</f>
        <v>47661.69860362733</v>
      </c>
      <c r="R12" s="84"/>
      <c r="S12" s="84">
        <f>'Good Venture 2018 - 2021'!Q12+'Foundation 2 2019 - 2022'!E12</f>
        <v>4136</v>
      </c>
      <c r="T12" s="84">
        <f>'Foundation 1 2019 - 2021'!D12+'Effect Hope 2019'!D12</f>
        <v>6050</v>
      </c>
      <c r="U12" s="84"/>
      <c r="V12" s="84">
        <f>'Good Venture 2018 - 2021'!R12+'Foundation 2 2019 - 2022'!F12+'Foundation 1 2019 - 2021'!G12</f>
        <v>3600</v>
      </c>
      <c r="W12" s="91"/>
      <c r="X12" s="84">
        <v>21384.432049753046</v>
      </c>
      <c r="Y12" s="84">
        <v>4811.2295098816003</v>
      </c>
      <c r="Z12" s="84">
        <v>10184.64</v>
      </c>
      <c r="AA12" s="84">
        <f>'Good Venture 2018 - 2021'!W12+'Foundation 2 2019 - 2022'!H12</f>
        <v>0</v>
      </c>
      <c r="AB12" s="84"/>
      <c r="AC12" s="84">
        <f>'Good Venture 2018 - 2021'!Y12+'Foundation 2 2019 - 2022'!I12</f>
        <v>0</v>
      </c>
      <c r="AD12" s="84">
        <f>'Foundation 1 2019 - 2021'!I12</f>
        <v>0</v>
      </c>
      <c r="AE12" s="84">
        <f>'Foundation 1 2019 - 2021'!J12</f>
        <v>927</v>
      </c>
      <c r="AF12" s="84">
        <f>'Good Venture 2018 - 2021'!Z12+'Foundation 2 2019 - 2022'!J12+'Foundation 1 2019 - 2021'!L12</f>
        <v>0</v>
      </c>
      <c r="AG12" s="91"/>
      <c r="AH12" s="84">
        <v>0</v>
      </c>
      <c r="AI12" s="84">
        <v>0</v>
      </c>
      <c r="AJ12" s="84">
        <v>13367.34</v>
      </c>
      <c r="AK12" s="84">
        <f>'Good Venture 2018 - 2021'!AE12+'Foundation 2 2019 - 2022'!L12</f>
        <v>0</v>
      </c>
      <c r="AL12" s="84"/>
      <c r="AM12" s="84">
        <f>'Good Venture 2018 - 2021'!AG12+'Foundation 2 2019 - 2022'!M12</f>
        <v>0</v>
      </c>
      <c r="AN12" s="84">
        <f>'Foundation 1 2019 - 2021'!N12</f>
        <v>0</v>
      </c>
      <c r="AO12" s="84"/>
      <c r="AP12" s="84">
        <f>'Good Venture 2018 - 2021'!AH12+'Foundation 2 2019 - 2022'!N12+'Foundation 1 2019 - 2021'!Q12</f>
        <v>0</v>
      </c>
      <c r="AQ12" s="91"/>
      <c r="AR12" s="84"/>
      <c r="AS12" s="84"/>
      <c r="AT12" s="84"/>
      <c r="AU12" s="84">
        <f>'Foundation 2 2019 - 2022'!P12</f>
        <v>0</v>
      </c>
      <c r="AV12" s="84"/>
      <c r="AW12" s="84">
        <f>'Foundation 2 2019 - 2022'!Q12</f>
        <v>1967</v>
      </c>
      <c r="AX12" s="84"/>
      <c r="AY12" s="84"/>
      <c r="AZ12" s="84">
        <f>'Foundation 2 2019 - 2022'!R12</f>
        <v>3933.8172</v>
      </c>
    </row>
    <row r="13" spans="2:52" x14ac:dyDescent="0.2">
      <c r="B13" s="170" t="s">
        <v>4</v>
      </c>
      <c r="C13" s="170"/>
      <c r="D13" s="84">
        <v>68732.50999999998</v>
      </c>
      <c r="E13" s="84">
        <v>27679.649999999994</v>
      </c>
      <c r="F13" s="84">
        <v>29880.600000000006</v>
      </c>
      <c r="G13" s="84">
        <f>'Expenditures 2018'!G13+'Expenditures 2018'!N13+'Expenditures 2018'!Q13</f>
        <v>13153.380000000001</v>
      </c>
      <c r="H13" s="84">
        <f>'Expenditures 2018'!H13</f>
        <v>1618.57</v>
      </c>
      <c r="I13" s="84">
        <v>0</v>
      </c>
      <c r="J13" s="84">
        <v>0</v>
      </c>
      <c r="K13" s="84">
        <v>0</v>
      </c>
      <c r="L13" s="84">
        <f>'Expenditures 2018'!J13+'Expenditures 2018'!R13</f>
        <v>16491.850000000002</v>
      </c>
      <c r="M13" s="91"/>
      <c r="N13" s="84">
        <v>106856.29171318808</v>
      </c>
      <c r="O13" s="84">
        <v>77077.786408157379</v>
      </c>
      <c r="P13" s="84">
        <f>'Good Venture 2018 - 2021'!N13+'Foundation 1 2019 - 2021'!F13</f>
        <v>70364.487953706295</v>
      </c>
      <c r="Q13" s="84">
        <f>'Good Venture 2018 - 2021'!O13+'Foundation 2 2019 - 2022'!D13+'Effect Hope 2019'!E13</f>
        <v>42826.046080996646</v>
      </c>
      <c r="R13" s="84"/>
      <c r="S13" s="84">
        <f>'Good Venture 2018 - 2021'!Q13+'Foundation 2 2019 - 2022'!E13</f>
        <v>44705.083427189209</v>
      </c>
      <c r="T13" s="84">
        <f>'Foundation 1 2019 - 2021'!D13+'Effect Hope 2019'!D13</f>
        <v>76239.288496227004</v>
      </c>
      <c r="U13" s="84"/>
      <c r="V13" s="84">
        <f>'Good Venture 2018 - 2021'!R13+'Foundation 2 2019 - 2022'!F13+'Foundation 1 2019 - 2021'!G13</f>
        <v>32673.499344786098</v>
      </c>
      <c r="W13" s="91"/>
      <c r="X13" s="84">
        <v>110062.02176815204</v>
      </c>
      <c r="Y13" s="84">
        <v>51156.180379438651</v>
      </c>
      <c r="Z13" s="84">
        <v>67700.893789851514</v>
      </c>
      <c r="AA13" s="84">
        <f>'Good Venture 2018 - 2021'!W13+'Foundation 2 2019 - 2022'!H13</f>
        <v>20199.474331247449</v>
      </c>
      <c r="AB13" s="84"/>
      <c r="AC13" s="84">
        <f>'Good Venture 2018 - 2021'!Y13+'Foundation 2 2019 - 2022'!I13</f>
        <v>46046.355930004887</v>
      </c>
      <c r="AD13" s="84">
        <f>'Foundation 1 2019 - 2021'!I13</f>
        <v>38266.344190692536</v>
      </c>
      <c r="AE13" s="84">
        <f>'Foundation 1 2019 - 2021'!J13</f>
        <v>18749.845825114498</v>
      </c>
      <c r="AF13" s="84">
        <f>'Good Venture 2018 - 2021'!Z13+'Foundation 2 2019 - 2022'!J13+'Foundation 1 2019 - 2021'!L13</f>
        <v>34417.327491369215</v>
      </c>
      <c r="AG13" s="91"/>
      <c r="AH13" s="84">
        <v>66294.605007169594</v>
      </c>
      <c r="AI13" s="84">
        <v>14539.144253805292</v>
      </c>
      <c r="AJ13" s="84">
        <v>33064.723496084735</v>
      </c>
      <c r="AK13" s="84">
        <f>'Good Venture 2018 - 2021'!AE13+'Foundation 2 2019 - 2022'!L13</f>
        <v>12153.933304497348</v>
      </c>
      <c r="AL13" s="84"/>
      <c r="AM13" s="84">
        <f>'Good Venture 2018 - 2021'!AG13+'Foundation 2 2019 - 2022'!M13</f>
        <v>47427.796607905038</v>
      </c>
      <c r="AN13" s="84">
        <f>'Foundation 1 2019 - 2021'!N13</f>
        <v>39796.997958320237</v>
      </c>
      <c r="AO13" s="84"/>
      <c r="AP13" s="84">
        <f>'Good Venture 2018 - 2021'!AH13+'Foundation 2 2019 - 2022'!N13+'Foundation 1 2019 - 2021'!Q13</f>
        <v>19366.08015562392</v>
      </c>
      <c r="AQ13" s="91"/>
      <c r="AR13" s="84"/>
      <c r="AS13" s="84"/>
      <c r="AT13" s="84"/>
      <c r="AU13" s="84">
        <f>'Foundation 2 2019 - 2022'!P13</f>
        <v>12640.090636677241</v>
      </c>
      <c r="AV13" s="84"/>
      <c r="AW13" s="84">
        <f>'Foundation 2 2019 - 2022'!Q13</f>
        <v>24364</v>
      </c>
      <c r="AX13" s="84"/>
      <c r="AY13" s="84"/>
      <c r="AZ13" s="84">
        <f>'Foundation 2 2019 - 2022'!R13</f>
        <v>8798.7971687696972</v>
      </c>
    </row>
    <row r="14" spans="2:52" x14ac:dyDescent="0.2">
      <c r="B14" s="171" t="s">
        <v>5</v>
      </c>
      <c r="C14" s="86" t="s">
        <v>6</v>
      </c>
      <c r="D14" s="84">
        <v>342.93</v>
      </c>
      <c r="E14" s="84">
        <v>0</v>
      </c>
      <c r="F14" s="84">
        <v>136.62</v>
      </c>
      <c r="G14" s="84">
        <f>'Expenditures 2018'!G14+'Expenditures 2018'!N14+'Expenditures 2018'!Q14</f>
        <v>0</v>
      </c>
      <c r="H14" s="84">
        <f>'Expenditures 2018'!H14</f>
        <v>0</v>
      </c>
      <c r="I14" s="84">
        <v>0</v>
      </c>
      <c r="J14" s="84">
        <v>0</v>
      </c>
      <c r="K14" s="84">
        <v>0</v>
      </c>
      <c r="L14" s="84">
        <f>'Expenditures 2018'!J14+'Expenditures 2018'!R14</f>
        <v>0</v>
      </c>
      <c r="M14" s="91"/>
      <c r="N14" s="84">
        <v>18611</v>
      </c>
      <c r="O14" s="84">
        <v>23016</v>
      </c>
      <c r="P14" s="84">
        <f>'Good Venture 2018 - 2021'!N14+'Foundation 1 2019 - 2021'!F14</f>
        <v>11040</v>
      </c>
      <c r="Q14" s="84">
        <f>'Good Venture 2018 - 2021'!O14+'Foundation 2 2019 - 2022'!D14+'Effect Hope 2019'!E14</f>
        <v>42592.210448198355</v>
      </c>
      <c r="R14" s="84"/>
      <c r="S14" s="84">
        <f>'Good Venture 2018 - 2021'!Q14+'Foundation 2 2019 - 2022'!E14</f>
        <v>3703</v>
      </c>
      <c r="T14" s="84">
        <f>'Foundation 1 2019 - 2021'!D14+'Effect Hope 2019'!D14</f>
        <v>9500</v>
      </c>
      <c r="U14" s="84"/>
      <c r="V14" s="84">
        <f>'Good Venture 2018 - 2021'!R14+'Foundation 2 2019 - 2022'!F14+'Foundation 1 2019 - 2021'!G14</f>
        <v>0</v>
      </c>
      <c r="W14" s="91"/>
      <c r="X14" s="84">
        <v>9001</v>
      </c>
      <c r="Y14" s="84">
        <v>23707</v>
      </c>
      <c r="Z14" s="84">
        <v>11371</v>
      </c>
      <c r="AA14" s="84">
        <f>'Good Venture 2018 - 2021'!W14+'Foundation 2 2019 - 2022'!H14</f>
        <v>79482.098866126296</v>
      </c>
      <c r="AB14" s="84"/>
      <c r="AC14" s="84">
        <f>'Good Venture 2018 - 2021'!Y14+'Foundation 2 2019 - 2022'!I14</f>
        <v>2061</v>
      </c>
      <c r="AD14" s="84">
        <f>'Foundation 1 2019 - 2021'!I14</f>
        <v>0</v>
      </c>
      <c r="AE14" s="84">
        <f>'Foundation 1 2019 - 2021'!J14</f>
        <v>0</v>
      </c>
      <c r="AF14" s="84">
        <f>'Good Venture 2018 - 2021'!Z14+'Foundation 2 2019 - 2022'!J14+'Foundation 1 2019 - 2021'!L14</f>
        <v>0</v>
      </c>
      <c r="AG14" s="91"/>
      <c r="AH14" s="84">
        <v>7199</v>
      </c>
      <c r="AI14" s="84">
        <v>0</v>
      </c>
      <c r="AJ14" s="84">
        <v>11569</v>
      </c>
      <c r="AK14" s="84">
        <f>'Good Venture 2018 - 2021'!AE14+'Foundation 2 2019 - 2022'!L14</f>
        <v>52377.182820771341</v>
      </c>
      <c r="AL14" s="84"/>
      <c r="AM14" s="84">
        <f>'Good Venture 2018 - 2021'!AG14+'Foundation 2 2019 - 2022'!M14</f>
        <v>2123</v>
      </c>
      <c r="AN14" s="84">
        <f>'Foundation 1 2019 - 2021'!N14</f>
        <v>0</v>
      </c>
      <c r="AO14" s="84"/>
      <c r="AP14" s="84">
        <f>'Good Venture 2018 - 2021'!AH14+'Foundation 2 2019 - 2022'!N14+'Foundation 1 2019 - 2021'!Q14</f>
        <v>0</v>
      </c>
      <c r="AQ14" s="91"/>
      <c r="AR14" s="84"/>
      <c r="AS14" s="84"/>
      <c r="AT14" s="84"/>
      <c r="AU14" s="84">
        <f>'Foundation 2 2019 - 2022'!P14</f>
        <v>24743.870133602195</v>
      </c>
      <c r="AV14" s="84"/>
      <c r="AW14" s="84">
        <f>'Foundation 2 2019 - 2022'!Q14</f>
        <v>2187</v>
      </c>
      <c r="AX14" s="84"/>
      <c r="AY14" s="84"/>
      <c r="AZ14" s="84">
        <f>'Foundation 2 2019 - 2022'!R14</f>
        <v>0</v>
      </c>
    </row>
    <row r="15" spans="2:52" x14ac:dyDescent="0.2">
      <c r="B15" s="171"/>
      <c r="C15" s="86" t="s">
        <v>7</v>
      </c>
      <c r="D15" s="84">
        <v>375.36</v>
      </c>
      <c r="E15" s="84">
        <v>0</v>
      </c>
      <c r="F15" s="84">
        <v>0</v>
      </c>
      <c r="G15" s="84">
        <f>'Expenditures 2018'!G15+'Expenditures 2018'!N15+'Expenditures 2018'!Q15</f>
        <v>0</v>
      </c>
      <c r="H15" s="84">
        <f>'Expenditures 2018'!H15</f>
        <v>0</v>
      </c>
      <c r="I15" s="84">
        <v>0</v>
      </c>
      <c r="J15" s="84">
        <v>0</v>
      </c>
      <c r="K15" s="84">
        <v>0</v>
      </c>
      <c r="L15" s="84">
        <f>'Expenditures 2018'!J15+'Expenditures 2018'!R15</f>
        <v>0</v>
      </c>
      <c r="M15" s="91"/>
      <c r="N15" s="84">
        <v>1936</v>
      </c>
      <c r="O15" s="84">
        <v>0</v>
      </c>
      <c r="P15" s="84">
        <f>'Good Venture 2018 - 2021'!N15+'Foundation 1 2019 - 2021'!F15</f>
        <v>37280</v>
      </c>
      <c r="Q15" s="84">
        <f>'Good Venture 2018 - 2021'!O15+'Foundation 2 2019 - 2022'!D15+'Effect Hope 2019'!E15</f>
        <v>0</v>
      </c>
      <c r="R15" s="84"/>
      <c r="S15" s="84">
        <f>'Good Venture 2018 - 2021'!Q15+'Foundation 2 2019 - 2022'!E15</f>
        <v>0</v>
      </c>
      <c r="T15" s="84">
        <f>'Foundation 1 2019 - 2021'!D15+'Effect Hope 2019'!D15</f>
        <v>35000</v>
      </c>
      <c r="U15" s="84"/>
      <c r="V15" s="84">
        <f>'Good Venture 2018 - 2021'!R15+'Foundation 2 2019 - 2022'!F15+'Foundation 1 2019 - 2021'!G15</f>
        <v>80744</v>
      </c>
      <c r="W15" s="91"/>
      <c r="X15" s="84">
        <v>1994</v>
      </c>
      <c r="Y15" s="84">
        <v>0</v>
      </c>
      <c r="Z15" s="84">
        <v>0</v>
      </c>
      <c r="AA15" s="84">
        <f>'Good Venture 2018 - 2021'!W15+'Foundation 2 2019 - 2022'!H15</f>
        <v>0</v>
      </c>
      <c r="AB15" s="84"/>
      <c r="AC15" s="84">
        <f>'Good Venture 2018 - 2021'!Y15+'Foundation 2 2019 - 2022'!I15</f>
        <v>0</v>
      </c>
      <c r="AD15" s="84">
        <f>'Foundation 1 2019 - 2021'!I15</f>
        <v>0</v>
      </c>
      <c r="AE15" s="84">
        <f>'Foundation 1 2019 - 2021'!J15</f>
        <v>72357.5</v>
      </c>
      <c r="AF15" s="84">
        <f>'Good Venture 2018 - 2021'!Z15+'Foundation 2 2019 - 2022'!J15+'Foundation 1 2019 - 2021'!L15</f>
        <v>85846.895000000004</v>
      </c>
      <c r="AG15" s="91"/>
      <c r="AH15" s="84">
        <v>3537</v>
      </c>
      <c r="AI15" s="84">
        <v>0</v>
      </c>
      <c r="AJ15" s="84">
        <v>0</v>
      </c>
      <c r="AK15" s="84">
        <f>'Good Venture 2018 - 2021'!AE15+'Foundation 2 2019 - 2022'!L15</f>
        <v>0</v>
      </c>
      <c r="AL15" s="84"/>
      <c r="AM15" s="84">
        <f>'Good Venture 2018 - 2021'!AG15+'Foundation 2 2019 - 2022'!M15</f>
        <v>0</v>
      </c>
      <c r="AN15" s="84">
        <f>'Foundation 1 2019 - 2021'!N15</f>
        <v>0</v>
      </c>
      <c r="AO15" s="84"/>
      <c r="AP15" s="84">
        <f>'Good Venture 2018 - 2021'!AH15+'Foundation 2 2019 - 2022'!N15+'Foundation 1 2019 - 2021'!Q15</f>
        <v>86035.276849999995</v>
      </c>
      <c r="AQ15" s="91"/>
      <c r="AR15" s="84"/>
      <c r="AS15" s="84"/>
      <c r="AT15" s="84"/>
      <c r="AU15" s="84">
        <f>'Foundation 2 2019 - 2022'!P15</f>
        <v>0</v>
      </c>
      <c r="AV15" s="84"/>
      <c r="AW15" s="84">
        <f>'Foundation 2 2019 - 2022'!Q15</f>
        <v>0</v>
      </c>
      <c r="AX15" s="84"/>
      <c r="AY15" s="84"/>
      <c r="AZ15" s="84">
        <f>'Foundation 2 2019 - 2022'!R15</f>
        <v>0</v>
      </c>
    </row>
    <row r="16" spans="2:52" x14ac:dyDescent="0.2">
      <c r="B16" s="171"/>
      <c r="C16" s="86" t="s">
        <v>8</v>
      </c>
      <c r="D16" s="84">
        <v>0</v>
      </c>
      <c r="E16" s="84">
        <v>3018.170000000001</v>
      </c>
      <c r="F16" s="84">
        <v>0</v>
      </c>
      <c r="G16" s="84">
        <f>'Expenditures 2018'!G16+'Expenditures 2018'!N16+'Expenditures 2018'!Q16</f>
        <v>0</v>
      </c>
      <c r="H16" s="84">
        <f>'Expenditures 2018'!H16</f>
        <v>0</v>
      </c>
      <c r="I16" s="84">
        <v>0</v>
      </c>
      <c r="J16" s="84">
        <v>0</v>
      </c>
      <c r="K16" s="84">
        <v>0</v>
      </c>
      <c r="L16" s="84">
        <f>'Expenditures 2018'!J16+'Expenditures 2018'!R16</f>
        <v>6827.24</v>
      </c>
      <c r="M16" s="91"/>
      <c r="N16" s="84">
        <v>2600</v>
      </c>
      <c r="O16" s="84">
        <v>59682</v>
      </c>
      <c r="P16" s="84">
        <f>'Good Venture 2018 - 2021'!N16+'Foundation 1 2019 - 2021'!F16</f>
        <v>0</v>
      </c>
      <c r="Q16" s="84">
        <f>'Good Venture 2018 - 2021'!O16+'Foundation 2 2019 - 2022'!D16+'Effect Hope 2019'!E16</f>
        <v>24088.706094782374</v>
      </c>
      <c r="R16" s="84"/>
      <c r="S16" s="84">
        <f>'Good Venture 2018 - 2021'!Q16+'Foundation 2 2019 - 2022'!E16</f>
        <v>0</v>
      </c>
      <c r="T16" s="84">
        <f>'Foundation 1 2019 - 2021'!D16+'Effect Hope 2019'!D16</f>
        <v>44844.4</v>
      </c>
      <c r="U16" s="84"/>
      <c r="V16" s="84">
        <f>'Good Venture 2018 - 2021'!R16+'Foundation 2 2019 - 2022'!F16+'Foundation 1 2019 - 2021'!G16</f>
        <v>48350</v>
      </c>
      <c r="W16" s="91"/>
      <c r="X16" s="84">
        <v>2678</v>
      </c>
      <c r="Y16" s="84">
        <v>61472</v>
      </c>
      <c r="Z16" s="84">
        <v>0</v>
      </c>
      <c r="AA16" s="84">
        <f>'Good Venture 2018 - 2021'!W16+'Foundation 2 2019 - 2022'!H16</f>
        <v>53788.974338573666</v>
      </c>
      <c r="AB16" s="84"/>
      <c r="AC16" s="84">
        <f>'Good Venture 2018 - 2021'!Y16+'Foundation 2 2019 - 2022'!I16</f>
        <v>0</v>
      </c>
      <c r="AD16" s="84">
        <f>'Foundation 1 2019 - 2021'!I16</f>
        <v>13000</v>
      </c>
      <c r="AE16" s="84">
        <f>'Foundation 1 2019 - 2021'!J16</f>
        <v>0</v>
      </c>
      <c r="AF16" s="84">
        <f>'Good Venture 2018 - 2021'!Z16+'Foundation 2 2019 - 2022'!J16+'Foundation 1 2019 - 2021'!L16</f>
        <v>32098</v>
      </c>
      <c r="AG16" s="91"/>
      <c r="AH16" s="84">
        <v>5645</v>
      </c>
      <c r="AI16" s="84">
        <v>0</v>
      </c>
      <c r="AJ16" s="84">
        <v>0</v>
      </c>
      <c r="AK16" s="84">
        <f>'Good Venture 2018 - 2021'!AE16+'Foundation 2 2019 - 2022'!L16</f>
        <v>54727.773312116617</v>
      </c>
      <c r="AL16" s="84"/>
      <c r="AM16" s="84">
        <f>'Good Venture 2018 - 2021'!AG16+'Foundation 2 2019 - 2022'!M16</f>
        <v>0</v>
      </c>
      <c r="AN16" s="84">
        <f>'Foundation 1 2019 - 2021'!N16</f>
        <v>13520.000000000002</v>
      </c>
      <c r="AO16" s="84"/>
      <c r="AP16" s="84">
        <f>'Good Venture 2018 - 2021'!AH16+'Foundation 2 2019 - 2022'!N16+'Foundation 1 2019 - 2021'!Q16</f>
        <v>0</v>
      </c>
      <c r="AQ16" s="91"/>
      <c r="AR16" s="84"/>
      <c r="AS16" s="84"/>
      <c r="AT16" s="84"/>
      <c r="AU16" s="84">
        <f>'Foundation 2 2019 - 2022'!P16</f>
        <v>14433.924244601281</v>
      </c>
      <c r="AV16" s="84"/>
      <c r="AW16" s="84">
        <f>'Foundation 2 2019 - 2022'!Q16</f>
        <v>0</v>
      </c>
      <c r="AX16" s="84"/>
      <c r="AY16" s="84"/>
      <c r="AZ16" s="84">
        <f>'Foundation 2 2019 - 2022'!R16</f>
        <v>0</v>
      </c>
    </row>
    <row r="17" spans="2:52" x14ac:dyDescent="0.2">
      <c r="B17" s="171"/>
      <c r="C17" s="86" t="s">
        <v>9</v>
      </c>
      <c r="D17" s="84">
        <v>0</v>
      </c>
      <c r="E17" s="84">
        <v>7664.1999999999989</v>
      </c>
      <c r="F17" s="84">
        <v>4194.04</v>
      </c>
      <c r="G17" s="84">
        <f>'Expenditures 2018'!G17+'Expenditures 2018'!N17+'Expenditures 2018'!Q17</f>
        <v>6759.8600000000015</v>
      </c>
      <c r="H17" s="84">
        <f>'Expenditures 2018'!H17</f>
        <v>0</v>
      </c>
      <c r="I17" s="84">
        <v>0</v>
      </c>
      <c r="J17" s="84">
        <v>0</v>
      </c>
      <c r="K17" s="84">
        <v>0</v>
      </c>
      <c r="L17" s="84">
        <f>'Expenditures 2018'!J17+'Expenditures 2018'!R17</f>
        <v>0</v>
      </c>
      <c r="M17" s="91"/>
      <c r="N17" s="84">
        <v>4635</v>
      </c>
      <c r="O17" s="84">
        <v>32171</v>
      </c>
      <c r="P17" s="84">
        <f>'Good Venture 2018 - 2021'!N17+'Foundation 1 2019 - 2021'!F17</f>
        <v>13852</v>
      </c>
      <c r="Q17" s="84">
        <f>'Good Venture 2018 - 2021'!O17+'Foundation 2 2019 - 2022'!D17+'Effect Hope 2019'!E17</f>
        <v>221575.65746509095</v>
      </c>
      <c r="R17" s="84"/>
      <c r="S17" s="84">
        <f>'Good Venture 2018 - 2021'!Q17+'Foundation 2 2019 - 2022'!E17</f>
        <v>170892</v>
      </c>
      <c r="T17" s="84">
        <f>'Foundation 1 2019 - 2021'!D17+'Effect Hope 2019'!D17</f>
        <v>110473.8</v>
      </c>
      <c r="U17" s="84"/>
      <c r="V17" s="92">
        <f>'Good Venture 2018 - 2021'!R17+'Foundation 2 2019 - 2022'!F17+'Foundation 1 2019 - 2021'!G17+E35+E38</f>
        <v>715236.99</v>
      </c>
      <c r="W17" s="91"/>
      <c r="X17" s="84">
        <v>4774</v>
      </c>
      <c r="Y17" s="84">
        <v>33136</v>
      </c>
      <c r="Z17" s="84">
        <v>14268</v>
      </c>
      <c r="AA17" s="84">
        <f>'Good Venture 2018 - 2021'!W17+'Foundation 2 2019 - 2022'!H17</f>
        <v>10485.336980307882</v>
      </c>
      <c r="AB17" s="84"/>
      <c r="AC17" s="84">
        <f>'Good Venture 2018 - 2021'!Y17+'Foundation 2 2019 - 2022'!I17</f>
        <v>169718</v>
      </c>
      <c r="AD17" s="84">
        <f>'Foundation 1 2019 - 2021'!I17</f>
        <v>26000</v>
      </c>
      <c r="AE17" s="84">
        <f>'Foundation 1 2019 - 2021'!J17</f>
        <v>0</v>
      </c>
      <c r="AF17" s="84">
        <f>'Good Venture 2018 - 2021'!Z17+'Foundation 2 2019 - 2022'!J17+'Foundation 1 2019 - 2021'!L17</f>
        <v>0</v>
      </c>
      <c r="AG17" s="91"/>
      <c r="AH17" s="84">
        <v>16114</v>
      </c>
      <c r="AI17" s="84">
        <v>1529</v>
      </c>
      <c r="AJ17" s="84">
        <v>8487</v>
      </c>
      <c r="AK17" s="84">
        <f>'Good Venture 2018 - 2021'!AE17+'Foundation 2 2019 - 2022'!L17</f>
        <v>10904.750459520199</v>
      </c>
      <c r="AL17" s="84"/>
      <c r="AM17" s="84">
        <f>'Good Venture 2018 - 2021'!AG17+'Foundation 2 2019 - 2022'!M17</f>
        <v>174809</v>
      </c>
      <c r="AN17" s="84">
        <f>'Foundation 1 2019 - 2021'!N17</f>
        <v>27040.000000000004</v>
      </c>
      <c r="AO17" s="84"/>
      <c r="AP17" s="84">
        <f>'Good Venture 2018 - 2021'!AH17+'Foundation 2 2019 - 2022'!N17+'Foundation 1 2019 - 2021'!Q17</f>
        <v>21881</v>
      </c>
      <c r="AQ17" s="91"/>
      <c r="AR17" s="84"/>
      <c r="AS17" s="84"/>
      <c r="AT17" s="84"/>
      <c r="AU17" s="84">
        <f>'Foundation 2 2019 - 2022'!P17</f>
        <v>11340.940477901007</v>
      </c>
      <c r="AV17" s="84"/>
      <c r="AW17" s="84">
        <f>'Foundation 2 2019 - 2022'!Q17</f>
        <v>24678</v>
      </c>
      <c r="AX17" s="84"/>
      <c r="AY17" s="84"/>
      <c r="AZ17" s="84">
        <f>'Foundation 2 2019 - 2022'!R17</f>
        <v>0</v>
      </c>
    </row>
    <row r="18" spans="2:52" x14ac:dyDescent="0.2">
      <c r="B18" s="171"/>
      <c r="C18" s="86" t="s">
        <v>10</v>
      </c>
      <c r="D18" s="84">
        <v>0</v>
      </c>
      <c r="E18" s="84">
        <v>0</v>
      </c>
      <c r="F18" s="84">
        <v>0</v>
      </c>
      <c r="G18" s="84">
        <f>'Expenditures 2018'!G18+'Expenditures 2018'!N18+'Expenditures 2018'!Q18</f>
        <v>1067.07</v>
      </c>
      <c r="H18" s="84">
        <f>'Expenditures 2018'!H18</f>
        <v>0</v>
      </c>
      <c r="I18" s="84">
        <v>0</v>
      </c>
      <c r="J18" s="84">
        <v>0</v>
      </c>
      <c r="K18" s="84">
        <v>0</v>
      </c>
      <c r="L18" s="84">
        <f>'Expenditures 2018'!J18+'Expenditures 2018'!R18</f>
        <v>3072</v>
      </c>
      <c r="M18" s="91"/>
      <c r="N18" s="84">
        <v>0</v>
      </c>
      <c r="O18" s="84">
        <v>928</v>
      </c>
      <c r="P18" s="84">
        <f>'Good Venture 2018 - 2021'!N18+'Foundation 1 2019 - 2021'!F18</f>
        <v>17919</v>
      </c>
      <c r="Q18" s="84">
        <f>'Good Venture 2018 - 2021'!O18+'Foundation 2 2019 - 2022'!D18+'Effect Hope 2019'!E18</f>
        <v>77366.42089639671</v>
      </c>
      <c r="R18" s="84"/>
      <c r="S18" s="84">
        <f>'Good Venture 2018 - 2021'!Q18+'Foundation 2 2019 - 2022'!E18</f>
        <v>83113.566964285725</v>
      </c>
      <c r="T18" s="84">
        <f>'Foundation 1 2019 - 2021'!D18+'Effect Hope 2019'!D18</f>
        <v>34422.720000000001</v>
      </c>
      <c r="U18" s="84"/>
      <c r="V18" s="84">
        <f>'Good Venture 2018 - 2021'!R18+'Foundation 2 2019 - 2022'!F18+'Foundation 1 2019 - 2021'!G18</f>
        <v>0</v>
      </c>
      <c r="W18" s="91"/>
      <c r="X18" s="84">
        <v>0</v>
      </c>
      <c r="Y18" s="84">
        <v>956</v>
      </c>
      <c r="Z18" s="84">
        <v>18456</v>
      </c>
      <c r="AA18" s="84">
        <f>'Good Venture 2018 - 2021'!W18+'Foundation 2 2019 - 2022'!H18</f>
        <v>71558.197732252578</v>
      </c>
      <c r="AB18" s="84"/>
      <c r="AC18" s="84">
        <f>'Good Venture 2018 - 2021'!Y18+'Foundation 2 2019 - 2022'!I18</f>
        <v>85606.843973214287</v>
      </c>
      <c r="AD18" s="84">
        <f>'Foundation 1 2019 - 2021'!I18</f>
        <v>23400</v>
      </c>
      <c r="AE18" s="84">
        <f>'Foundation 1 2019 - 2021'!J18</f>
        <v>0</v>
      </c>
      <c r="AF18" s="84">
        <f>'Good Venture 2018 - 2021'!Z18+'Foundation 2 2019 - 2022'!J18+'Foundation 1 2019 - 2021'!L18</f>
        <v>0</v>
      </c>
      <c r="AG18" s="91"/>
      <c r="AH18" s="84">
        <v>0</v>
      </c>
      <c r="AI18" s="84">
        <v>27126</v>
      </c>
      <c r="AJ18" s="84">
        <v>8487</v>
      </c>
      <c r="AK18" s="84">
        <f>'Good Venture 2018 - 2021'!AE18+'Foundation 2 2019 - 2022'!L18</f>
        <v>73646.365641542681</v>
      </c>
      <c r="AL18" s="84"/>
      <c r="AM18" s="84">
        <f>'Good Venture 2018 - 2021'!AG18+'Foundation 2 2019 - 2022'!M18</f>
        <v>88174.88929241072</v>
      </c>
      <c r="AN18" s="84">
        <f>'Foundation 1 2019 - 2021'!N18</f>
        <v>24338</v>
      </c>
      <c r="AO18" s="84"/>
      <c r="AP18" s="84">
        <f>'Good Venture 2018 - 2021'!AH18+'Foundation 2 2019 - 2022'!N18+'Foundation 1 2019 - 2021'!Q18</f>
        <v>0</v>
      </c>
      <c r="AQ18" s="91"/>
      <c r="AR18" s="84"/>
      <c r="AS18" s="84"/>
      <c r="AT18" s="84"/>
      <c r="AU18" s="84">
        <f>'Foundation 2 2019 - 2022'!P18</f>
        <v>49487.740267204397</v>
      </c>
      <c r="AV18" s="84"/>
      <c r="AW18" s="84">
        <f>'Foundation 2 2019 - 2022'!Q18</f>
        <v>87136.855971183046</v>
      </c>
      <c r="AX18" s="84"/>
      <c r="AY18" s="84"/>
      <c r="AZ18" s="84">
        <f>'Foundation 2 2019 - 2022'!R18</f>
        <v>0</v>
      </c>
    </row>
    <row r="19" spans="2:52" x14ac:dyDescent="0.2">
      <c r="B19" s="171"/>
      <c r="C19" s="86" t="s">
        <v>11</v>
      </c>
      <c r="D19" s="84">
        <v>20416.539999999997</v>
      </c>
      <c r="E19" s="84">
        <f>21539.74+'Expenditures 2018'!M19</f>
        <v>124862.60328318732</v>
      </c>
      <c r="F19" s="84">
        <v>43926.95000000007</v>
      </c>
      <c r="G19" s="84">
        <f>'Expenditures 2018'!G19+'Expenditures 2018'!N19+'Expenditures 2018'!Q19</f>
        <v>103322.86328318731</v>
      </c>
      <c r="H19" s="84">
        <f>'Expenditures 2018'!H19</f>
        <v>0</v>
      </c>
      <c r="I19" s="84">
        <v>0</v>
      </c>
      <c r="J19" s="84">
        <v>0</v>
      </c>
      <c r="K19" s="84">
        <v>0</v>
      </c>
      <c r="L19" s="84">
        <f>'Expenditures 2018'!J19+'Expenditures 2018'!R19</f>
        <v>0</v>
      </c>
      <c r="M19" s="91"/>
      <c r="N19" s="84">
        <v>39643</v>
      </c>
      <c r="O19" s="84">
        <v>48415</v>
      </c>
      <c r="P19" s="84">
        <f>'Good Venture 2018 - 2021'!N19+'Foundation 1 2019 - 2021'!F19</f>
        <v>154370</v>
      </c>
      <c r="Q19" s="84">
        <f>'Good Venture 2018 - 2021'!O19+'Foundation 2 2019 - 2022'!D19+'Effect Hope 2019'!E19</f>
        <v>179238.85920645736</v>
      </c>
      <c r="R19" s="84"/>
      <c r="S19" s="84">
        <f>'Good Venture 2018 - 2021'!Q19+'Foundation 2 2019 - 2022'!E19</f>
        <v>110649.64285714286</v>
      </c>
      <c r="T19" s="84">
        <f>'Foundation 1 2019 - 2021'!D19+'Effect Hope 2019'!D19</f>
        <v>8288</v>
      </c>
      <c r="U19" s="84"/>
      <c r="V19" s="84">
        <f>'Good Venture 2018 - 2021'!R19+'Foundation 2 2019 - 2022'!F19+'Foundation 1 2019 - 2021'!G19</f>
        <v>0</v>
      </c>
      <c r="W19" s="91"/>
      <c r="X19" s="84">
        <v>40832</v>
      </c>
      <c r="Y19" s="84">
        <v>55108</v>
      </c>
      <c r="Z19" s="84">
        <v>159002</v>
      </c>
      <c r="AA19" s="84">
        <f>'Good Venture 2018 - 2021'!W19+'Foundation 2 2019 - 2022'!H19</f>
        <v>70146.967608252162</v>
      </c>
      <c r="AB19" s="84"/>
      <c r="AC19" s="84">
        <f>'Good Venture 2018 - 2021'!Y19+'Foundation 2 2019 - 2022'!I19</f>
        <v>87531.982142857145</v>
      </c>
      <c r="AD19" s="84">
        <f>'Foundation 1 2019 - 2021'!I19</f>
        <v>0</v>
      </c>
      <c r="AE19" s="84">
        <f>'Foundation 1 2019 - 2021'!J19</f>
        <v>0</v>
      </c>
      <c r="AF19" s="84">
        <f>'Good Venture 2018 - 2021'!Z19+'Foundation 2 2019 - 2022'!J19+'Foundation 1 2019 - 2021'!L19</f>
        <v>0</v>
      </c>
      <c r="AG19" s="91"/>
      <c r="AH19" s="84">
        <v>61242</v>
      </c>
      <c r="AI19" s="84">
        <v>151188</v>
      </c>
      <c r="AJ19" s="84">
        <v>192470</v>
      </c>
      <c r="AK19" s="84">
        <f>'Good Venture 2018 - 2021'!AE19+'Foundation 2 2019 - 2022'!L19</f>
        <v>71539.406312582258</v>
      </c>
      <c r="AL19" s="84"/>
      <c r="AM19" s="84">
        <f>'Good Venture 2018 - 2021'!AG19+'Foundation 2 2019 - 2022'!M19</f>
        <v>90157.831607142856</v>
      </c>
      <c r="AN19" s="84">
        <f>'Foundation 1 2019 - 2021'!N19</f>
        <v>0</v>
      </c>
      <c r="AO19" s="84"/>
      <c r="AP19" s="84">
        <f>'Good Venture 2018 - 2021'!AH19+'Foundation 2 2019 - 2022'!N19+'Foundation 1 2019 - 2021'!Q19</f>
        <v>0</v>
      </c>
      <c r="AQ19" s="91"/>
      <c r="AR19" s="84"/>
      <c r="AS19" s="84"/>
      <c r="AT19" s="84"/>
      <c r="AU19" s="84">
        <f>'Foundation 2 2019 - 2022'!P19</f>
        <v>24915.702565085543</v>
      </c>
      <c r="AV19" s="84"/>
      <c r="AW19" s="84">
        <f>'Foundation 2 2019 - 2022'!Q19</f>
        <v>30972.956555357141</v>
      </c>
      <c r="AX19" s="84"/>
      <c r="AY19" s="84"/>
      <c r="AZ19" s="84">
        <f>'Foundation 2 2019 - 2022'!R19</f>
        <v>0</v>
      </c>
    </row>
    <row r="20" spans="2:52" x14ac:dyDescent="0.2">
      <c r="B20" s="172" t="s">
        <v>12</v>
      </c>
      <c r="C20" s="86" t="s">
        <v>6</v>
      </c>
      <c r="D20" s="84">
        <v>0</v>
      </c>
      <c r="E20" s="84">
        <v>0</v>
      </c>
      <c r="F20" s="84">
        <v>0</v>
      </c>
      <c r="G20" s="84">
        <f>'Expenditures 2018'!G20+'Expenditures 2018'!N20+'Expenditures 2018'!Q20</f>
        <v>0</v>
      </c>
      <c r="H20" s="84">
        <f>'Expenditures 2018'!H20</f>
        <v>0</v>
      </c>
      <c r="I20" s="84">
        <v>0</v>
      </c>
      <c r="J20" s="84">
        <v>0</v>
      </c>
      <c r="K20" s="84">
        <v>0</v>
      </c>
      <c r="L20" s="84">
        <f>'Expenditures 2018'!J20+'Expenditures 2018'!R20</f>
        <v>0</v>
      </c>
      <c r="M20" s="91"/>
      <c r="N20" s="84">
        <v>0</v>
      </c>
      <c r="O20" s="84">
        <v>0</v>
      </c>
      <c r="P20" s="84">
        <f>'Good Venture 2018 - 2021'!N20+'Foundation 1 2019 - 2021'!F20</f>
        <v>13706</v>
      </c>
      <c r="Q20" s="84">
        <f>'Good Venture 2018 - 2021'!O20+'Foundation 2 2019 - 2022'!D20+'Effect Hope 2019'!E20</f>
        <v>0</v>
      </c>
      <c r="R20" s="84"/>
      <c r="S20" s="84">
        <f>'Good Venture 2018 - 2021'!Q20+'Foundation 2 2019 - 2022'!E20</f>
        <v>0</v>
      </c>
      <c r="T20" s="84">
        <f>'Foundation 1 2019 - 2021'!D20+'Effect Hope 2019'!D20</f>
        <v>0</v>
      </c>
      <c r="U20" s="84"/>
      <c r="V20" s="84">
        <f>'Good Venture 2018 - 2021'!R20+'Foundation 2 2019 - 2022'!F20+'Foundation 1 2019 - 2021'!G20</f>
        <v>0</v>
      </c>
      <c r="W20" s="91"/>
      <c r="X20" s="84">
        <v>0</v>
      </c>
      <c r="Y20" s="84">
        <v>0</v>
      </c>
      <c r="Z20" s="84">
        <v>14118</v>
      </c>
      <c r="AA20" s="84">
        <f>'Good Venture 2018 - 2021'!W20+'Foundation 2 2019 - 2022'!H20</f>
        <v>0</v>
      </c>
      <c r="AB20" s="84"/>
      <c r="AC20" s="84">
        <f>'Good Venture 2018 - 2021'!Y20+'Foundation 2 2019 - 2022'!I20</f>
        <v>0</v>
      </c>
      <c r="AD20" s="84">
        <f>'Foundation 1 2019 - 2021'!I20</f>
        <v>0</v>
      </c>
      <c r="AE20" s="84">
        <f>'Foundation 1 2019 - 2021'!J20</f>
        <v>0</v>
      </c>
      <c r="AF20" s="84">
        <f>'Good Venture 2018 - 2021'!Z20+'Foundation 2 2019 - 2022'!J20+'Foundation 1 2019 - 2021'!L20</f>
        <v>0</v>
      </c>
      <c r="AG20" s="91"/>
      <c r="AH20" s="84">
        <v>0</v>
      </c>
      <c r="AI20" s="84">
        <v>0</v>
      </c>
      <c r="AJ20" s="84">
        <v>14118</v>
      </c>
      <c r="AK20" s="84">
        <f>'Good Venture 2018 - 2021'!AE20+'Foundation 2 2019 - 2022'!L20</f>
        <v>0</v>
      </c>
      <c r="AL20" s="84"/>
      <c r="AM20" s="84">
        <f>'Good Venture 2018 - 2021'!AG20+'Foundation 2 2019 - 2022'!M20</f>
        <v>0</v>
      </c>
      <c r="AN20" s="84">
        <f>'Foundation 1 2019 - 2021'!N20</f>
        <v>0</v>
      </c>
      <c r="AO20" s="84"/>
      <c r="AP20" s="84">
        <f>'Good Venture 2018 - 2021'!AH20+'Foundation 2 2019 - 2022'!N20+'Foundation 1 2019 - 2021'!Q20</f>
        <v>0</v>
      </c>
      <c r="AQ20" s="91"/>
      <c r="AR20" s="84"/>
      <c r="AS20" s="84"/>
      <c r="AT20" s="84"/>
      <c r="AU20" s="84">
        <f>'Foundation 2 2019 - 2022'!P20</f>
        <v>0</v>
      </c>
      <c r="AV20" s="84"/>
      <c r="AW20" s="84">
        <f>'Foundation 2 2019 - 2022'!Q20</f>
        <v>0</v>
      </c>
      <c r="AX20" s="84"/>
      <c r="AY20" s="84"/>
      <c r="AZ20" s="84">
        <f>'Foundation 2 2019 - 2022'!R20</f>
        <v>0</v>
      </c>
    </row>
    <row r="21" spans="2:52" x14ac:dyDescent="0.2">
      <c r="B21" s="172"/>
      <c r="C21" s="86" t="s">
        <v>7</v>
      </c>
      <c r="D21" s="84">
        <v>0</v>
      </c>
      <c r="E21" s="84">
        <v>0</v>
      </c>
      <c r="F21" s="84">
        <v>0</v>
      </c>
      <c r="G21" s="84">
        <f>'Expenditures 2018'!G21+'Expenditures 2018'!N21+'Expenditures 2018'!Q21</f>
        <v>0</v>
      </c>
      <c r="H21" s="84">
        <f>'Expenditures 2018'!H21</f>
        <v>0</v>
      </c>
      <c r="I21" s="84">
        <v>0</v>
      </c>
      <c r="J21" s="84">
        <v>0</v>
      </c>
      <c r="K21" s="84">
        <v>0</v>
      </c>
      <c r="L21" s="84">
        <f>'Expenditures 2018'!J21+'Expenditures 2018'!R21</f>
        <v>0</v>
      </c>
      <c r="M21" s="91"/>
      <c r="N21" s="84">
        <v>0</v>
      </c>
      <c r="O21" s="84">
        <v>0</v>
      </c>
      <c r="P21" s="84">
        <f>'Good Venture 2018 - 2021'!N21+'Foundation 1 2019 - 2021'!F21</f>
        <v>0</v>
      </c>
      <c r="Q21" s="84">
        <f>'Good Venture 2018 - 2021'!O21+'Foundation 2 2019 - 2022'!D21+'Effect Hope 2019'!E21</f>
        <v>0</v>
      </c>
      <c r="R21" s="84"/>
      <c r="S21" s="84">
        <f>'Good Venture 2018 - 2021'!Q21+'Foundation 2 2019 - 2022'!E21</f>
        <v>0</v>
      </c>
      <c r="T21" s="84">
        <f>'Foundation 1 2019 - 2021'!D21+'Effect Hope 2019'!D21</f>
        <v>0</v>
      </c>
      <c r="U21" s="84"/>
      <c r="V21" s="84">
        <f>'Good Venture 2018 - 2021'!R21+'Foundation 2 2019 - 2022'!F21+'Foundation 1 2019 - 2021'!G21</f>
        <v>0</v>
      </c>
      <c r="W21" s="91"/>
      <c r="X21" s="84">
        <v>0</v>
      </c>
      <c r="Y21" s="84">
        <v>0</v>
      </c>
      <c r="Z21" s="84">
        <v>0</v>
      </c>
      <c r="AA21" s="84">
        <f>'Good Venture 2018 - 2021'!W21+'Foundation 2 2019 - 2022'!H21</f>
        <v>0</v>
      </c>
      <c r="AB21" s="84"/>
      <c r="AC21" s="84">
        <f>'Good Venture 2018 - 2021'!Y21+'Foundation 2 2019 - 2022'!I21</f>
        <v>0</v>
      </c>
      <c r="AD21" s="84">
        <f>'Foundation 1 2019 - 2021'!I21</f>
        <v>0</v>
      </c>
      <c r="AE21" s="84">
        <f>'Foundation 1 2019 - 2021'!J21</f>
        <v>0</v>
      </c>
      <c r="AF21" s="84">
        <f>'Good Venture 2018 - 2021'!Z21+'Foundation 2 2019 - 2022'!J21+'Foundation 1 2019 - 2021'!L21</f>
        <v>0</v>
      </c>
      <c r="AG21" s="91"/>
      <c r="AH21" s="84">
        <v>0</v>
      </c>
      <c r="AI21" s="84">
        <v>0</v>
      </c>
      <c r="AJ21" s="84">
        <v>0</v>
      </c>
      <c r="AK21" s="84">
        <f>'Good Venture 2018 - 2021'!AE21+'Foundation 2 2019 - 2022'!L21</f>
        <v>0</v>
      </c>
      <c r="AL21" s="84"/>
      <c r="AM21" s="84">
        <f>'Good Venture 2018 - 2021'!AG21+'Foundation 2 2019 - 2022'!M21</f>
        <v>0</v>
      </c>
      <c r="AN21" s="84">
        <f>'Foundation 1 2019 - 2021'!N21</f>
        <v>0</v>
      </c>
      <c r="AO21" s="84"/>
      <c r="AP21" s="84">
        <f>'Good Venture 2018 - 2021'!AH21+'Foundation 2 2019 - 2022'!N21+'Foundation 1 2019 - 2021'!Q21</f>
        <v>0</v>
      </c>
      <c r="AQ21" s="91"/>
      <c r="AR21" s="84"/>
      <c r="AS21" s="84"/>
      <c r="AT21" s="84"/>
      <c r="AU21" s="84">
        <f>'Foundation 2 2019 - 2022'!P21</f>
        <v>0</v>
      </c>
      <c r="AV21" s="84"/>
      <c r="AW21" s="84">
        <f>'Foundation 2 2019 - 2022'!Q21</f>
        <v>0</v>
      </c>
      <c r="AX21" s="84"/>
      <c r="AY21" s="84"/>
      <c r="AZ21" s="84">
        <f>'Foundation 2 2019 - 2022'!R21</f>
        <v>0</v>
      </c>
    </row>
    <row r="22" spans="2:52" x14ac:dyDescent="0.2">
      <c r="B22" s="172"/>
      <c r="C22" s="86" t="s">
        <v>8</v>
      </c>
      <c r="D22" s="84">
        <v>0</v>
      </c>
      <c r="E22" s="84">
        <v>0</v>
      </c>
      <c r="F22" s="84">
        <v>0</v>
      </c>
      <c r="G22" s="84">
        <f>'Expenditures 2018'!G22+'Expenditures 2018'!N22+'Expenditures 2018'!Q22</f>
        <v>0</v>
      </c>
      <c r="H22" s="84">
        <f>'Expenditures 2018'!H22</f>
        <v>0</v>
      </c>
      <c r="I22" s="84">
        <v>0</v>
      </c>
      <c r="J22" s="84">
        <v>0</v>
      </c>
      <c r="K22" s="84">
        <v>0</v>
      </c>
      <c r="L22" s="84">
        <f>'Expenditures 2018'!J22+'Expenditures 2018'!R22</f>
        <v>0</v>
      </c>
      <c r="M22" s="91"/>
      <c r="N22" s="84">
        <v>0</v>
      </c>
      <c r="O22" s="84">
        <v>0</v>
      </c>
      <c r="P22" s="84">
        <f>'Good Venture 2018 - 2021'!N22+'Foundation 1 2019 - 2021'!F22</f>
        <v>96312</v>
      </c>
      <c r="Q22" s="84">
        <f>'Good Venture 2018 - 2021'!O22+'Foundation 2 2019 - 2022'!D22+'Effect Hope 2019'!E22</f>
        <v>0</v>
      </c>
      <c r="R22" s="84"/>
      <c r="S22" s="84">
        <f>'Good Venture 2018 - 2021'!Q22+'Foundation 2 2019 - 2022'!E22</f>
        <v>0</v>
      </c>
      <c r="T22" s="84">
        <f>'Foundation 1 2019 - 2021'!D22+'Effect Hope 2019'!D22</f>
        <v>0</v>
      </c>
      <c r="U22" s="84"/>
      <c r="V22" s="84">
        <f>'Good Venture 2018 - 2021'!R22+'Foundation 2 2019 - 2022'!F22+'Foundation 1 2019 - 2021'!G22</f>
        <v>0</v>
      </c>
      <c r="W22" s="91"/>
      <c r="X22" s="84">
        <v>0</v>
      </c>
      <c r="Y22" s="84">
        <v>0</v>
      </c>
      <c r="Z22" s="84">
        <v>37401</v>
      </c>
      <c r="AA22" s="84">
        <f>'Good Venture 2018 - 2021'!W22+'Foundation 2 2019 - 2022'!H22</f>
        <v>0</v>
      </c>
      <c r="AB22" s="84"/>
      <c r="AC22" s="84">
        <f>'Good Venture 2018 - 2021'!Y22+'Foundation 2 2019 - 2022'!I22</f>
        <v>0</v>
      </c>
      <c r="AD22" s="84">
        <f>'Foundation 1 2019 - 2021'!I22</f>
        <v>0</v>
      </c>
      <c r="AE22" s="84">
        <f>'Foundation 1 2019 - 2021'!J22</f>
        <v>0</v>
      </c>
      <c r="AF22" s="84">
        <f>'Good Venture 2018 - 2021'!Z22+'Foundation 2 2019 - 2022'!J22+'Foundation 1 2019 - 2021'!L22</f>
        <v>0</v>
      </c>
      <c r="AG22" s="91"/>
      <c r="AH22" s="84">
        <v>36542</v>
      </c>
      <c r="AI22" s="84">
        <v>0</v>
      </c>
      <c r="AJ22" s="84">
        <v>37401</v>
      </c>
      <c r="AK22" s="84">
        <f>'Good Venture 2018 - 2021'!AE22+'Foundation 2 2019 - 2022'!L22</f>
        <v>0</v>
      </c>
      <c r="AL22" s="84"/>
      <c r="AM22" s="84">
        <f>'Good Venture 2018 - 2021'!AG22+'Foundation 2 2019 - 2022'!M22</f>
        <v>0</v>
      </c>
      <c r="AN22" s="84">
        <f>'Foundation 1 2019 - 2021'!N22</f>
        <v>0</v>
      </c>
      <c r="AO22" s="84"/>
      <c r="AP22" s="84">
        <f>'Good Venture 2018 - 2021'!AH22+'Foundation 2 2019 - 2022'!N22+'Foundation 1 2019 - 2021'!Q22</f>
        <v>0</v>
      </c>
      <c r="AQ22" s="91"/>
      <c r="AR22" s="84"/>
      <c r="AS22" s="84"/>
      <c r="AT22" s="84"/>
      <c r="AU22" s="84">
        <f>'Foundation 2 2019 - 2022'!P22</f>
        <v>0</v>
      </c>
      <c r="AV22" s="84"/>
      <c r="AW22" s="84">
        <f>'Foundation 2 2019 - 2022'!Q22</f>
        <v>0</v>
      </c>
      <c r="AX22" s="84"/>
      <c r="AY22" s="84"/>
      <c r="AZ22" s="84">
        <f>'Foundation 2 2019 - 2022'!R22</f>
        <v>0</v>
      </c>
    </row>
    <row r="23" spans="2:52" x14ac:dyDescent="0.2">
      <c r="B23" s="172"/>
      <c r="C23" s="86" t="s">
        <v>9</v>
      </c>
      <c r="D23" s="84">
        <v>389868.30999999994</v>
      </c>
      <c r="E23" s="84">
        <v>214870.62</v>
      </c>
      <c r="F23" s="84">
        <v>152661.25999999998</v>
      </c>
      <c r="G23" s="84">
        <f>'Expenditures 2018'!G23+'Expenditures 2018'!N23+'Expenditures 2018'!Q23</f>
        <v>218845.89</v>
      </c>
      <c r="H23" s="84">
        <f>'Expenditures 2018'!H23</f>
        <v>0</v>
      </c>
      <c r="I23" s="84">
        <v>0</v>
      </c>
      <c r="J23" s="84">
        <v>0</v>
      </c>
      <c r="K23" s="84">
        <v>0</v>
      </c>
      <c r="L23" s="84">
        <f>'Expenditures 2018'!J23+'Expenditures 2018'!R23</f>
        <v>0</v>
      </c>
      <c r="M23" s="91"/>
      <c r="N23" s="84">
        <v>202265</v>
      </c>
      <c r="O23" s="84">
        <v>347603</v>
      </c>
      <c r="P23" s="84">
        <f>'Good Venture 2018 - 2021'!N23+'Foundation 1 2019 - 2021'!F23</f>
        <v>26116</v>
      </c>
      <c r="Q23" s="84">
        <f>'Good Venture 2018 - 2021'!O23+'Foundation 2 2019 - 2022'!D23+'Effect Hope 2019'!E23</f>
        <v>0</v>
      </c>
      <c r="R23" s="84"/>
      <c r="S23" s="84">
        <f>'Good Venture 2018 - 2021'!Q23+'Foundation 2 2019 - 2022'!E23</f>
        <v>0</v>
      </c>
      <c r="T23" s="84">
        <f>'Foundation 1 2019 - 2021'!D23+'Effect Hope 2019'!D23</f>
        <v>0</v>
      </c>
      <c r="U23" s="84"/>
      <c r="V23" s="84">
        <f>'Good Venture 2018 - 2021'!R23+'Foundation 2 2019 - 2022'!F23+'Foundation 1 2019 - 2021'!G23</f>
        <v>0</v>
      </c>
      <c r="W23" s="91"/>
      <c r="X23" s="84">
        <v>247699</v>
      </c>
      <c r="Y23" s="84">
        <v>358030</v>
      </c>
      <c r="Z23" s="84">
        <v>26899</v>
      </c>
      <c r="AA23" s="84">
        <f>'Good Venture 2018 - 2021'!W23+'Foundation 2 2019 - 2022'!H23</f>
        <v>0</v>
      </c>
      <c r="AB23" s="84"/>
      <c r="AC23" s="84">
        <f>'Good Venture 2018 - 2021'!Y23+'Foundation 2 2019 - 2022'!I23</f>
        <v>0</v>
      </c>
      <c r="AD23" s="84">
        <f>'Foundation 1 2019 - 2021'!I23</f>
        <v>0</v>
      </c>
      <c r="AE23" s="84">
        <f>'Foundation 1 2019 - 2021'!J23</f>
        <v>0</v>
      </c>
      <c r="AF23" s="84">
        <f>'Good Venture 2018 - 2021'!Z23+'Foundation 2 2019 - 2022'!J23+'Foundation 1 2019 - 2021'!L23</f>
        <v>0</v>
      </c>
      <c r="AG23" s="91"/>
      <c r="AH23" s="84">
        <v>220693</v>
      </c>
      <c r="AI23" s="84">
        <v>335288</v>
      </c>
      <c r="AJ23" s="84">
        <v>31827</v>
      </c>
      <c r="AK23" s="84">
        <f>'Good Venture 2018 - 2021'!AE23+'Foundation 2 2019 - 2022'!L23</f>
        <v>0</v>
      </c>
      <c r="AL23" s="84"/>
      <c r="AM23" s="84">
        <f>'Good Venture 2018 - 2021'!AG23+'Foundation 2 2019 - 2022'!M23</f>
        <v>0</v>
      </c>
      <c r="AN23" s="84">
        <f>'Foundation 1 2019 - 2021'!N23</f>
        <v>0</v>
      </c>
      <c r="AO23" s="84"/>
      <c r="AP23" s="84">
        <f>'Good Venture 2018 - 2021'!AH23+'Foundation 2 2019 - 2022'!N23+'Foundation 1 2019 - 2021'!Q23</f>
        <v>0</v>
      </c>
      <c r="AQ23" s="91"/>
      <c r="AR23" s="84"/>
      <c r="AS23" s="84"/>
      <c r="AT23" s="84"/>
      <c r="AU23" s="84">
        <f>'Foundation 2 2019 - 2022'!P23</f>
        <v>0</v>
      </c>
      <c r="AV23" s="84"/>
      <c r="AW23" s="84">
        <f>'Foundation 2 2019 - 2022'!Q23</f>
        <v>0</v>
      </c>
      <c r="AX23" s="84"/>
      <c r="AY23" s="84"/>
      <c r="AZ23" s="84">
        <f>'Foundation 2 2019 - 2022'!R23</f>
        <v>0</v>
      </c>
    </row>
    <row r="24" spans="2:52" x14ac:dyDescent="0.2">
      <c r="B24" s="172"/>
      <c r="C24" s="86" t="s">
        <v>10</v>
      </c>
      <c r="D24" s="84">
        <v>0</v>
      </c>
      <c r="E24" s="84">
        <v>0</v>
      </c>
      <c r="F24" s="84">
        <v>0</v>
      </c>
      <c r="G24" s="84">
        <f>'Expenditures 2018'!G24+'Expenditures 2018'!N24+'Expenditures 2018'!Q24</f>
        <v>0</v>
      </c>
      <c r="H24" s="84">
        <f>'Expenditures 2018'!H24</f>
        <v>0</v>
      </c>
      <c r="I24" s="84">
        <v>0</v>
      </c>
      <c r="J24" s="84">
        <v>0</v>
      </c>
      <c r="K24" s="84">
        <v>0</v>
      </c>
      <c r="L24" s="84">
        <f>'Expenditures 2018'!J24+'Expenditures 2018'!R24</f>
        <v>0</v>
      </c>
      <c r="M24" s="91"/>
      <c r="N24" s="84">
        <v>35481</v>
      </c>
      <c r="O24" s="84">
        <v>0</v>
      </c>
      <c r="P24" s="84">
        <f>'Good Venture 2018 - 2021'!N24+'Foundation 1 2019 - 2021'!F24</f>
        <v>6176</v>
      </c>
      <c r="Q24" s="84">
        <f>'Good Venture 2018 - 2021'!O24+'Foundation 2 2019 - 2022'!D24+'Effect Hope 2019'!E24</f>
        <v>0</v>
      </c>
      <c r="R24" s="84"/>
      <c r="S24" s="84">
        <f>'Good Venture 2018 - 2021'!Q24+'Foundation 2 2019 - 2022'!E24</f>
        <v>0</v>
      </c>
      <c r="T24" s="84">
        <f>'Foundation 1 2019 - 2021'!D24+'Effect Hope 2019'!D24</f>
        <v>0</v>
      </c>
      <c r="U24" s="84"/>
      <c r="V24" s="84">
        <f>'Good Venture 2018 - 2021'!R24+'Foundation 2 2019 - 2022'!F24+'Foundation 1 2019 - 2021'!G24</f>
        <v>0</v>
      </c>
      <c r="W24" s="91"/>
      <c r="X24" s="84">
        <v>0</v>
      </c>
      <c r="Y24" s="84">
        <v>0</v>
      </c>
      <c r="Z24" s="84">
        <v>6361</v>
      </c>
      <c r="AA24" s="84">
        <f>'Good Venture 2018 - 2021'!W24+'Foundation 2 2019 - 2022'!H24</f>
        <v>0</v>
      </c>
      <c r="AB24" s="84"/>
      <c r="AC24" s="84">
        <f>'Good Venture 2018 - 2021'!Y24+'Foundation 2 2019 - 2022'!I24</f>
        <v>0</v>
      </c>
      <c r="AD24" s="84">
        <f>'Foundation 1 2019 - 2021'!I24</f>
        <v>0</v>
      </c>
      <c r="AE24" s="84">
        <f>'Foundation 1 2019 - 2021'!J24</f>
        <v>0</v>
      </c>
      <c r="AF24" s="84">
        <f>'Good Venture 2018 - 2021'!Z24+'Foundation 2 2019 - 2022'!J24+'Foundation 1 2019 - 2021'!L24</f>
        <v>0</v>
      </c>
      <c r="AG24" s="91"/>
      <c r="AH24" s="84">
        <v>0</v>
      </c>
      <c r="AI24" s="84">
        <v>0</v>
      </c>
      <c r="AJ24" s="84">
        <v>6361</v>
      </c>
      <c r="AK24" s="84">
        <f>'Good Venture 2018 - 2021'!AE24+'Foundation 2 2019 - 2022'!L24</f>
        <v>0</v>
      </c>
      <c r="AL24" s="84"/>
      <c r="AM24" s="84">
        <f>'Good Venture 2018 - 2021'!AG24+'Foundation 2 2019 - 2022'!M24</f>
        <v>0</v>
      </c>
      <c r="AN24" s="84">
        <f>'Foundation 1 2019 - 2021'!N24</f>
        <v>0</v>
      </c>
      <c r="AO24" s="84"/>
      <c r="AP24" s="84">
        <f>'Good Venture 2018 - 2021'!AH24+'Foundation 2 2019 - 2022'!N24+'Foundation 1 2019 - 2021'!Q24</f>
        <v>0</v>
      </c>
      <c r="AQ24" s="91"/>
      <c r="AR24" s="84"/>
      <c r="AS24" s="84"/>
      <c r="AT24" s="84"/>
      <c r="AU24" s="84">
        <f>'Foundation 2 2019 - 2022'!P24</f>
        <v>0</v>
      </c>
      <c r="AV24" s="84"/>
      <c r="AW24" s="84">
        <f>'Foundation 2 2019 - 2022'!Q24</f>
        <v>0</v>
      </c>
      <c r="AX24" s="84"/>
      <c r="AY24" s="84"/>
      <c r="AZ24" s="84">
        <f>'Foundation 2 2019 - 2022'!R24</f>
        <v>0</v>
      </c>
    </row>
    <row r="25" spans="2:52" x14ac:dyDescent="0.2">
      <c r="B25" s="173"/>
      <c r="C25" s="87" t="s">
        <v>11</v>
      </c>
      <c r="D25" s="88">
        <v>0</v>
      </c>
      <c r="E25" s="88">
        <v>0</v>
      </c>
      <c r="F25" s="88">
        <v>0</v>
      </c>
      <c r="G25" s="88">
        <f>'Expenditures 2018'!G25+'Expenditures 2018'!N25+'Expenditures 2018'!Q25</f>
        <v>0</v>
      </c>
      <c r="H25" s="88">
        <f>'Expenditures 2018'!H25</f>
        <v>0</v>
      </c>
      <c r="I25" s="88">
        <v>0</v>
      </c>
      <c r="J25" s="88">
        <v>0</v>
      </c>
      <c r="K25" s="88">
        <v>0</v>
      </c>
      <c r="L25" s="88">
        <f>'Expenditures 2018'!J25+'Expenditures 2018'!R25</f>
        <v>0</v>
      </c>
      <c r="M25" s="93"/>
      <c r="N25" s="88">
        <v>67409</v>
      </c>
      <c r="O25" s="88">
        <v>0</v>
      </c>
      <c r="P25" s="88">
        <f>'Good Venture 2018 - 2021'!N25+'Foundation 1 2019 - 2021'!F25</f>
        <v>70353</v>
      </c>
      <c r="Q25" s="88">
        <f>'Good Venture 2018 - 2021'!O25+'Foundation 2 2019 - 2022'!D25+'Effect Hope 2019'!E25</f>
        <v>0</v>
      </c>
      <c r="R25" s="88"/>
      <c r="S25" s="88">
        <f>'Good Venture 2018 - 2021'!Q25+'Foundation 2 2019 - 2022'!E25</f>
        <v>0</v>
      </c>
      <c r="T25" s="88">
        <f>'Foundation 1 2019 - 2021'!D25+'Effect Hope 2019'!D25</f>
        <v>0</v>
      </c>
      <c r="U25" s="88"/>
      <c r="V25" s="88">
        <f>'Good Venture 2018 - 2021'!R25+'Foundation 2 2019 - 2022'!F25+'Foundation 1 2019 - 2021'!G25</f>
        <v>0</v>
      </c>
      <c r="W25" s="93"/>
      <c r="X25" s="88">
        <v>43204</v>
      </c>
      <c r="Y25" s="88">
        <v>0</v>
      </c>
      <c r="Z25" s="88">
        <v>72464</v>
      </c>
      <c r="AA25" s="88">
        <f>'Good Venture 2018 - 2021'!W25+'Foundation 2 2019 - 2022'!H25</f>
        <v>0</v>
      </c>
      <c r="AB25" s="88"/>
      <c r="AC25" s="88">
        <f>'Good Venture 2018 - 2021'!Y25+'Foundation 2 2019 - 2022'!I25</f>
        <v>0</v>
      </c>
      <c r="AD25" s="88">
        <f>'Foundation 1 2019 - 2021'!I25</f>
        <v>0</v>
      </c>
      <c r="AE25" s="88">
        <f>'Foundation 1 2019 - 2021'!J25</f>
        <v>0</v>
      </c>
      <c r="AF25" s="88">
        <f>'Good Venture 2018 - 2021'!Z25+'Foundation 2 2019 - 2022'!J25+'Foundation 1 2019 - 2021'!L25</f>
        <v>0</v>
      </c>
      <c r="AG25" s="93"/>
      <c r="AH25" s="88">
        <v>0</v>
      </c>
      <c r="AI25" s="88">
        <v>0</v>
      </c>
      <c r="AJ25" s="88">
        <v>72464</v>
      </c>
      <c r="AK25" s="88">
        <f>'Good Venture 2018 - 2021'!AE25+'Foundation 2 2019 - 2022'!L25</f>
        <v>0</v>
      </c>
      <c r="AL25" s="88"/>
      <c r="AM25" s="88">
        <f>'Good Venture 2018 - 2021'!AG25+'Foundation 2 2019 - 2022'!M25</f>
        <v>0</v>
      </c>
      <c r="AN25" s="88">
        <f>'Foundation 1 2019 - 2021'!N25</f>
        <v>0</v>
      </c>
      <c r="AO25" s="88"/>
      <c r="AP25" s="88">
        <f>'Good Venture 2018 - 2021'!AH25+'Foundation 2 2019 - 2022'!N25+'Foundation 1 2019 - 2021'!Q25</f>
        <v>0</v>
      </c>
      <c r="AQ25" s="93"/>
      <c r="AR25" s="88"/>
      <c r="AS25" s="88"/>
      <c r="AT25" s="88"/>
      <c r="AU25" s="88">
        <f>'Foundation 2 2019 - 2022'!P25</f>
        <v>0</v>
      </c>
      <c r="AV25" s="88"/>
      <c r="AW25" s="88">
        <f>'Foundation 2 2019 - 2022'!Q25</f>
        <v>0</v>
      </c>
      <c r="AX25" s="88"/>
      <c r="AY25" s="88"/>
      <c r="AZ25" s="88">
        <f>'Foundation 2 2019 - 2022'!R25</f>
        <v>0</v>
      </c>
    </row>
    <row r="26" spans="2:52" x14ac:dyDescent="0.2">
      <c r="B26" s="148" t="s">
        <v>14</v>
      </c>
      <c r="C26" s="149"/>
      <c r="D26" s="6">
        <f>SUM(D10:D25)</f>
        <v>676200.84999999986</v>
      </c>
      <c r="E26" s="6">
        <f t="shared" ref="E26:K26" si="0">SUM(E10:E25)</f>
        <v>483138.22328318731</v>
      </c>
      <c r="F26" s="6">
        <f t="shared" si="0"/>
        <v>406298.6</v>
      </c>
      <c r="G26" s="6">
        <f t="shared" si="0"/>
        <v>487212.02328318736</v>
      </c>
      <c r="H26" s="6">
        <f t="shared" si="0"/>
        <v>14409.83</v>
      </c>
      <c r="I26" s="6">
        <f t="shared" si="0"/>
        <v>0</v>
      </c>
      <c r="J26" s="6">
        <f t="shared" si="0"/>
        <v>0</v>
      </c>
      <c r="K26" s="6">
        <f t="shared" si="0"/>
        <v>0</v>
      </c>
      <c r="L26" s="6">
        <f>SUM(L10:L25)</f>
        <v>207638.25000000006</v>
      </c>
      <c r="M26" s="4"/>
      <c r="N26" s="6">
        <f t="shared" ref="N26:S26" si="1">SUM(N10:N25)</f>
        <v>679786.87622751144</v>
      </c>
      <c r="O26" s="6">
        <f t="shared" si="1"/>
        <v>816012.15189094516</v>
      </c>
      <c r="P26" s="6">
        <f t="shared" si="1"/>
        <v>771042.72147508152</v>
      </c>
      <c r="Q26" s="6">
        <f t="shared" si="1"/>
        <v>946141.27761916828</v>
      </c>
      <c r="R26" s="6">
        <f t="shared" si="1"/>
        <v>0</v>
      </c>
      <c r="S26" s="6">
        <f t="shared" si="1"/>
        <v>667838.29324861779</v>
      </c>
      <c r="T26" s="6">
        <f t="shared" ref="T26" si="2">SUM(T10:T25)</f>
        <v>557169.6326241761</v>
      </c>
      <c r="U26" s="6">
        <f t="shared" ref="U26" si="3">SUM(U10:U25)</f>
        <v>0</v>
      </c>
      <c r="V26" s="6">
        <f t="shared" ref="V26" si="4">SUM(V10:V25)</f>
        <v>1421080.9642387421</v>
      </c>
      <c r="W26" s="4"/>
      <c r="X26" s="6">
        <f t="shared" ref="X26:AC26" si="5">SUM(X10:X25)</f>
        <v>657546.45381790516</v>
      </c>
      <c r="Y26" s="6">
        <f t="shared" si="5"/>
        <v>787134.30453346437</v>
      </c>
      <c r="Z26" s="6">
        <f t="shared" si="5"/>
        <v>662471.78449471109</v>
      </c>
      <c r="AA26" s="6">
        <f t="shared" si="5"/>
        <v>518475.75101519027</v>
      </c>
      <c r="AB26" s="6">
        <f t="shared" si="5"/>
        <v>0</v>
      </c>
      <c r="AC26" s="6">
        <f t="shared" si="5"/>
        <v>653519.1820460764</v>
      </c>
      <c r="AD26" s="6">
        <f t="shared" ref="AD26" si="6">SUM(AD10:AD25)</f>
        <v>222383.48916713201</v>
      </c>
      <c r="AE26" s="6">
        <f t="shared" ref="AE26" si="7">SUM(AE10:AE25)</f>
        <v>135566.77693067078</v>
      </c>
      <c r="AF26" s="6">
        <f t="shared" ref="AF26" si="8">SUM(AF10:AF25)</f>
        <v>736365.65891597443</v>
      </c>
      <c r="AG26" s="4"/>
      <c r="AH26" s="6">
        <f>SUM(AH10:AH25)</f>
        <v>606122.75928204611</v>
      </c>
      <c r="AI26" s="6">
        <f t="shared" ref="AI26:AO26" si="9">SUM(AI10:AI25)</f>
        <v>760144.47169939079</v>
      </c>
      <c r="AJ26" s="6">
        <f t="shared" si="9"/>
        <v>642668.09169608471</v>
      </c>
      <c r="AK26" s="6">
        <f t="shared" si="9"/>
        <v>497274.70105579792</v>
      </c>
      <c r="AL26" s="6">
        <f t="shared" si="9"/>
        <v>0</v>
      </c>
      <c r="AM26" s="6">
        <f t="shared" si="9"/>
        <v>657276.51750745857</v>
      </c>
      <c r="AN26" s="6">
        <f t="shared" si="9"/>
        <v>213818.20286431297</v>
      </c>
      <c r="AO26" s="6">
        <f t="shared" si="9"/>
        <v>0</v>
      </c>
      <c r="AP26" s="6">
        <f>SUM(AP10:AP25)</f>
        <v>738389.82376246725</v>
      </c>
      <c r="AQ26" s="4"/>
      <c r="AR26" s="6">
        <f>SUM(AR10:AR25)</f>
        <v>0</v>
      </c>
      <c r="AS26" s="6">
        <f t="shared" ref="AS26:AY26" si="10">SUM(AS10:AS25)</f>
        <v>0</v>
      </c>
      <c r="AT26" s="6">
        <f t="shared" si="10"/>
        <v>0</v>
      </c>
      <c r="AU26" s="6">
        <f t="shared" si="10"/>
        <v>276742.59240554983</v>
      </c>
      <c r="AV26" s="6">
        <f t="shared" si="10"/>
        <v>0</v>
      </c>
      <c r="AW26" s="6">
        <f t="shared" si="10"/>
        <v>347240.81252654019</v>
      </c>
      <c r="AX26" s="6">
        <f t="shared" si="10"/>
        <v>0</v>
      </c>
      <c r="AY26" s="6">
        <f t="shared" si="10"/>
        <v>0</v>
      </c>
      <c r="AZ26" s="6">
        <f>SUM(AZ10:AZ25)</f>
        <v>242088.29204482242</v>
      </c>
    </row>
    <row r="27" spans="2:52" x14ac:dyDescent="0.2">
      <c r="B27" s="152" t="s">
        <v>13</v>
      </c>
      <c r="C27" s="153"/>
      <c r="D27" s="15">
        <f t="shared" ref="D27:K27" si="11">D26*20.98%</f>
        <v>141866.93832999998</v>
      </c>
      <c r="E27" s="15">
        <f t="shared" si="11"/>
        <v>101362.39924481271</v>
      </c>
      <c r="F27" s="15">
        <f t="shared" si="11"/>
        <v>85241.446280000004</v>
      </c>
      <c r="G27" s="15">
        <f>'Expenditures 2018'!G27+'Expenditures 2018'!N27+'Expenditures 2018'!Q27</f>
        <v>102217.08248481272</v>
      </c>
      <c r="H27" s="15">
        <f>'Expenditures 2018'!H27</f>
        <v>3023.1823340000001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4">
        <f>'Expenditures 2018'!J27+'Expenditures 2018'!R27</f>
        <v>43562.504850000012</v>
      </c>
      <c r="M27" s="4"/>
      <c r="N27" s="15">
        <f t="shared" ref="N27:R27" si="12">N26*20.98%</f>
        <v>142619.2866325319</v>
      </c>
      <c r="O27" s="15">
        <f t="shared" si="12"/>
        <v>171199.3494667203</v>
      </c>
      <c r="P27" s="14">
        <f>'Good Venture 2018 - 2021'!N27+'Foundation 1 2019 - 2021'!F27</f>
        <v>161764.76296547209</v>
      </c>
      <c r="Q27" s="14">
        <f>'Good Venture 2018 - 2021'!O27+'Foundation 2 2019 - 2022'!D27+'Effect Hope 2019'!E27</f>
        <v>121509.05986165031</v>
      </c>
      <c r="R27" s="15">
        <f t="shared" si="12"/>
        <v>0</v>
      </c>
      <c r="S27" s="14">
        <f>'Good Venture 2018 - 2021'!Q27+'Foundation 2 2019 - 2022'!E27</f>
        <v>120868.16357623858</v>
      </c>
      <c r="T27" s="14">
        <f>'Foundation 1 2019 - 2021'!D27+'Effect Hope 2019'!D27</f>
        <v>80247.844877431198</v>
      </c>
      <c r="U27" s="14">
        <f>'Foundation 1 2019 - 2021'!E27</f>
        <v>0</v>
      </c>
      <c r="V27" s="14">
        <f>'Good Venture 2018 - 2021'!R27+'Foundation 2 2019 - 2022'!F27+'Foundation 1 2019 - 2021'!G27</f>
        <v>200328.92271519222</v>
      </c>
      <c r="W27" s="4"/>
      <c r="X27" s="15">
        <f t="shared" ref="X27:AB27" si="13">X26*20.98%</f>
        <v>137953.24601099652</v>
      </c>
      <c r="Y27" s="15">
        <f t="shared" si="13"/>
        <v>165140.77709112084</v>
      </c>
      <c r="Z27" s="15">
        <f t="shared" si="13"/>
        <v>138986.58038699039</v>
      </c>
      <c r="AA27" s="14">
        <f>'Good Venture 2018 - 2021'!W27+'Foundation 2 2019 - 2022'!H27</f>
        <v>92757.362252278544</v>
      </c>
      <c r="AB27" s="15">
        <f t="shared" si="13"/>
        <v>0</v>
      </c>
      <c r="AC27" s="14">
        <f>'Good Venture 2018 - 2021'!Y27+'Foundation 2 2019 - 2022'!I27</f>
        <v>117646.24539152574</v>
      </c>
      <c r="AD27" s="14">
        <f>'Foundation 1 2019 - 2021'!I27</f>
        <v>46656.056027264298</v>
      </c>
      <c r="AE27" s="14">
        <f>'Foundation 1 2019 - 2021'!J27</f>
        <v>28441.909800054731</v>
      </c>
      <c r="AF27" s="14">
        <f>'Good Venture 2018 - 2021'!Z27+'Foundation 2 2019 - 2022'!J27+'Foundation 1 2019 - 2021'!L27</f>
        <v>142891.66015697242</v>
      </c>
      <c r="AG27" s="4"/>
      <c r="AH27" s="15">
        <f t="shared" ref="AH27:AL27" si="14">AH26*20.98%</f>
        <v>127164.55489737328</v>
      </c>
      <c r="AI27" s="15">
        <f t="shared" si="14"/>
        <v>159478.3101625322</v>
      </c>
      <c r="AJ27" s="15">
        <f t="shared" si="14"/>
        <v>134831.76563783857</v>
      </c>
      <c r="AK27" s="14">
        <f>'Good Venture 2018 - 2021'!AE27+'Foundation 2 2019 - 2022'!L27</f>
        <v>87668.627958369674</v>
      </c>
      <c r="AL27" s="15">
        <f t="shared" si="14"/>
        <v>0</v>
      </c>
      <c r="AM27" s="14">
        <f>'Good Venture 2018 - 2021'!AG27+'Foundation 2 2019 - 2022'!M27</f>
        <v>117850.65346327153</v>
      </c>
      <c r="AN27" s="14">
        <f>'Foundation 1 2019 - 2021'!N27</f>
        <v>44859.058960932867</v>
      </c>
      <c r="AO27" s="15">
        <v>0</v>
      </c>
      <c r="AP27" s="14">
        <f>'Good Venture 2018 - 2021'!AH27+'Foundation 2 2019 - 2022'!N27+'Foundation 1 2019 - 2021'!Q27</f>
        <v>143350.19532322366</v>
      </c>
      <c r="AQ27" s="4"/>
      <c r="AR27" s="15">
        <f t="shared" ref="AR27:AV27" si="15">AR26*20.98%</f>
        <v>0</v>
      </c>
      <c r="AS27" s="15">
        <f t="shared" si="15"/>
        <v>0</v>
      </c>
      <c r="AT27" s="15">
        <f t="shared" si="15"/>
        <v>0</v>
      </c>
      <c r="AU27" s="14">
        <f>'Foundation 2 2019 - 2022'!P27</f>
        <v>41511.388860832471</v>
      </c>
      <c r="AV27" s="15">
        <f t="shared" si="15"/>
        <v>0</v>
      </c>
      <c r="AW27" s="14">
        <f>'Foundation 2 2019 - 2022'!Q27</f>
        <v>52086.12187898103</v>
      </c>
      <c r="AX27" s="15">
        <v>0</v>
      </c>
      <c r="AY27" s="15">
        <v>0</v>
      </c>
      <c r="AZ27" s="14">
        <f>'Foundation 2 2019 - 2022'!R27</f>
        <v>36313.24380672336</v>
      </c>
    </row>
    <row r="28" spans="2:52" x14ac:dyDescent="0.2">
      <c r="B28" s="154" t="s">
        <v>15</v>
      </c>
      <c r="C28" s="154"/>
      <c r="D28" s="5">
        <f>D27+D26</f>
        <v>818067.78832999989</v>
      </c>
      <c r="E28" s="5">
        <f t="shared" ref="E28:L28" si="16">E27+E26</f>
        <v>584500.62252800004</v>
      </c>
      <c r="F28" s="5">
        <f t="shared" si="16"/>
        <v>491540.04628000001</v>
      </c>
      <c r="G28" s="5">
        <f t="shared" si="16"/>
        <v>589429.10576800012</v>
      </c>
      <c r="H28" s="5">
        <f t="shared" si="16"/>
        <v>17433.012333999999</v>
      </c>
      <c r="I28" s="5">
        <f t="shared" si="16"/>
        <v>0</v>
      </c>
      <c r="J28" s="5">
        <f t="shared" si="16"/>
        <v>0</v>
      </c>
      <c r="K28" s="5">
        <f t="shared" si="16"/>
        <v>0</v>
      </c>
      <c r="L28" s="5">
        <f t="shared" si="16"/>
        <v>251200.75485000008</v>
      </c>
      <c r="M28" s="4"/>
      <c r="N28" s="5">
        <f t="shared" ref="N28:S28" si="17">N27+N26</f>
        <v>822406.16286004335</v>
      </c>
      <c r="O28" s="5">
        <f t="shared" si="17"/>
        <v>987211.50135766552</v>
      </c>
      <c r="P28" s="5">
        <f t="shared" si="17"/>
        <v>932807.48444055358</v>
      </c>
      <c r="Q28" s="5">
        <f t="shared" si="17"/>
        <v>1067650.3374808186</v>
      </c>
      <c r="R28" s="5">
        <f t="shared" si="17"/>
        <v>0</v>
      </c>
      <c r="S28" s="5">
        <f t="shared" si="17"/>
        <v>788706.45682485634</v>
      </c>
      <c r="T28" s="5">
        <f t="shared" ref="T28" si="18">T27+T26</f>
        <v>637417.47750160727</v>
      </c>
      <c r="U28" s="5">
        <f t="shared" ref="U28" si="19">U27+U26</f>
        <v>0</v>
      </c>
      <c r="V28" s="5">
        <f t="shared" ref="V28" si="20">V27+V26</f>
        <v>1621409.8869539343</v>
      </c>
      <c r="W28" s="4"/>
      <c r="X28" s="5">
        <f t="shared" ref="X28:AC28" si="21">X27+X26</f>
        <v>795499.69982890168</v>
      </c>
      <c r="Y28" s="5">
        <f t="shared" si="21"/>
        <v>952275.0816245852</v>
      </c>
      <c r="Z28" s="5">
        <f t="shared" si="21"/>
        <v>801458.36488170153</v>
      </c>
      <c r="AA28" s="5">
        <f t="shared" si="21"/>
        <v>611233.11326746875</v>
      </c>
      <c r="AB28" s="5">
        <f t="shared" si="21"/>
        <v>0</v>
      </c>
      <c r="AC28" s="5">
        <f t="shared" si="21"/>
        <v>771165.42743760208</v>
      </c>
      <c r="AD28" s="5">
        <f t="shared" ref="AD28" si="22">AD27+AD26</f>
        <v>269039.54519439628</v>
      </c>
      <c r="AE28" s="5">
        <f t="shared" ref="AE28" si="23">AE27+AE26</f>
        <v>164008.68673072552</v>
      </c>
      <c r="AF28" s="5">
        <f t="shared" ref="AF28" si="24">AF27+AF26</f>
        <v>879257.31907294691</v>
      </c>
      <c r="AG28" s="4"/>
      <c r="AH28" s="5">
        <f>AH27+AH26</f>
        <v>733287.31417941942</v>
      </c>
      <c r="AI28" s="5">
        <f t="shared" ref="AI28:AO28" si="25">AI27+AI26</f>
        <v>919622.78186192294</v>
      </c>
      <c r="AJ28" s="5">
        <f t="shared" si="25"/>
        <v>777499.85733392322</v>
      </c>
      <c r="AK28" s="5">
        <f t="shared" si="25"/>
        <v>584943.32901416766</v>
      </c>
      <c r="AL28" s="5">
        <f t="shared" si="25"/>
        <v>0</v>
      </c>
      <c r="AM28" s="5">
        <f t="shared" si="25"/>
        <v>775127.17097073013</v>
      </c>
      <c r="AN28" s="5">
        <f t="shared" si="25"/>
        <v>258677.26182524583</v>
      </c>
      <c r="AO28" s="5">
        <f t="shared" si="25"/>
        <v>0</v>
      </c>
      <c r="AP28" s="5">
        <f t="shared" ref="AP28" si="26">AP27+AP26</f>
        <v>881740.01908569084</v>
      </c>
      <c r="AQ28" s="4"/>
      <c r="AR28" s="5">
        <f>AR27+AR26</f>
        <v>0</v>
      </c>
      <c r="AS28" s="5">
        <f t="shared" ref="AS28:AY28" si="27">AS27+AS26</f>
        <v>0</v>
      </c>
      <c r="AT28" s="5">
        <f t="shared" si="27"/>
        <v>0</v>
      </c>
      <c r="AU28" s="5">
        <f t="shared" si="27"/>
        <v>318253.98126638232</v>
      </c>
      <c r="AV28" s="5">
        <f t="shared" si="27"/>
        <v>0</v>
      </c>
      <c r="AW28" s="5">
        <f t="shared" si="27"/>
        <v>399326.9344055212</v>
      </c>
      <c r="AX28" s="5">
        <f t="shared" si="27"/>
        <v>0</v>
      </c>
      <c r="AY28" s="5">
        <f t="shared" si="27"/>
        <v>0</v>
      </c>
      <c r="AZ28" s="5">
        <f t="shared" ref="AZ28" si="28">AZ27+AZ26</f>
        <v>278401.53585154575</v>
      </c>
    </row>
    <row r="29" spans="2:52" x14ac:dyDescent="0.2">
      <c r="B29" s="150" t="s">
        <v>19</v>
      </c>
      <c r="C29" s="150"/>
      <c r="D29" s="155">
        <f>SUM(D28:L28)</f>
        <v>2752171.3300900003</v>
      </c>
      <c r="E29" s="143"/>
      <c r="F29" s="143"/>
      <c r="G29" s="143"/>
      <c r="H29" s="143"/>
      <c r="I29" s="143"/>
      <c r="J29" s="143"/>
      <c r="K29" s="143"/>
      <c r="L29" s="143"/>
      <c r="M29" s="11"/>
      <c r="N29" s="155">
        <f t="shared" ref="N29" si="29">SUM(N28:V28)</f>
        <v>6857609.3074194789</v>
      </c>
      <c r="O29" s="143"/>
      <c r="P29" s="143"/>
      <c r="Q29" s="143"/>
      <c r="R29" s="143"/>
      <c r="S29" s="143"/>
      <c r="T29" s="143"/>
      <c r="U29" s="143"/>
      <c r="V29" s="143"/>
      <c r="W29" s="11"/>
      <c r="X29" s="155">
        <f t="shared" ref="X29" si="30">SUM(X28:AF28)</f>
        <v>5243937.2380383275</v>
      </c>
      <c r="Y29" s="143"/>
      <c r="Z29" s="143"/>
      <c r="AA29" s="143"/>
      <c r="AB29" s="143"/>
      <c r="AC29" s="143"/>
      <c r="AD29" s="143"/>
      <c r="AE29" s="143"/>
      <c r="AF29" s="143"/>
      <c r="AG29" s="11"/>
      <c r="AH29" s="155">
        <f>SUM(AH28:AP28)</f>
        <v>4930897.7342710998</v>
      </c>
      <c r="AI29" s="143"/>
      <c r="AJ29" s="143"/>
      <c r="AK29" s="143"/>
      <c r="AL29" s="143"/>
      <c r="AM29" s="143"/>
      <c r="AN29" s="143"/>
      <c r="AO29" s="143"/>
      <c r="AP29" s="143"/>
      <c r="AQ29" s="11"/>
      <c r="AR29" s="155">
        <f>SUM(AR28:AZ28)</f>
        <v>995982.45152344927</v>
      </c>
      <c r="AS29" s="143"/>
      <c r="AT29" s="143"/>
      <c r="AU29" s="143"/>
      <c r="AV29" s="143"/>
      <c r="AW29" s="143"/>
      <c r="AX29" s="143"/>
      <c r="AY29" s="143"/>
      <c r="AZ29" s="143"/>
    </row>
    <row r="30" spans="2:52" s="9" customFormat="1" ht="16" x14ac:dyDescent="0.2">
      <c r="B30" s="151" t="s">
        <v>20</v>
      </c>
      <c r="C30" s="151"/>
      <c r="D30" s="47"/>
      <c r="E30" s="47"/>
      <c r="F30" s="47"/>
      <c r="G30" s="47"/>
      <c r="H30" s="47"/>
      <c r="I30" s="47"/>
      <c r="J30" s="47"/>
      <c r="K30" s="47"/>
      <c r="L30" s="47">
        <f>D29+N29+X29+AH29+AR29</f>
        <v>20780598.061342355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</row>
    <row r="32" spans="2:52" ht="30" x14ac:dyDescent="0.2">
      <c r="B32" s="100" t="s">
        <v>46</v>
      </c>
      <c r="C32" s="101" t="s">
        <v>47</v>
      </c>
      <c r="D32" s="101" t="s">
        <v>44</v>
      </c>
      <c r="E32" s="102" t="s">
        <v>45</v>
      </c>
      <c r="H32" s="8"/>
      <c r="I32" s="8"/>
      <c r="J32" s="8"/>
      <c r="K32" s="8"/>
      <c r="L32" s="8"/>
    </row>
    <row r="33" spans="2:20" x14ac:dyDescent="0.2">
      <c r="B33" s="94" t="s">
        <v>50</v>
      </c>
      <c r="C33" s="95">
        <v>4000000</v>
      </c>
      <c r="D33" s="95">
        <v>0</v>
      </c>
      <c r="E33" s="95">
        <f>C33-D33</f>
        <v>4000000</v>
      </c>
    </row>
    <row r="34" spans="2:20" x14ac:dyDescent="0.2">
      <c r="B34" s="96" t="s">
        <v>34</v>
      </c>
      <c r="C34" s="97">
        <v>13700000</v>
      </c>
      <c r="D34" s="97">
        <v>2419032</v>
      </c>
      <c r="E34" s="97">
        <f t="shared" ref="E34:E40" si="31">C34-D34</f>
        <v>11280968</v>
      </c>
      <c r="Q34" s="17"/>
    </row>
    <row r="35" spans="2:20" x14ac:dyDescent="0.2">
      <c r="B35" s="96" t="s">
        <v>35</v>
      </c>
      <c r="C35" s="97">
        <v>419535</v>
      </c>
      <c r="D35" s="97">
        <v>83139</v>
      </c>
      <c r="E35" s="97">
        <f t="shared" si="31"/>
        <v>336396</v>
      </c>
      <c r="Q35" s="17"/>
    </row>
    <row r="36" spans="2:20" x14ac:dyDescent="0.2">
      <c r="B36" s="96" t="s">
        <v>49</v>
      </c>
      <c r="C36" s="97">
        <v>250000</v>
      </c>
      <c r="D36" s="97">
        <v>250000</v>
      </c>
      <c r="E36" s="97">
        <f t="shared" si="31"/>
        <v>0</v>
      </c>
      <c r="Q36" s="49"/>
      <c r="T36" s="48"/>
    </row>
    <row r="37" spans="2:20" x14ac:dyDescent="0.2">
      <c r="B37" s="96" t="s">
        <v>49</v>
      </c>
      <c r="C37" s="97">
        <v>1500000</v>
      </c>
      <c r="D37" s="97">
        <v>0</v>
      </c>
      <c r="E37" s="97">
        <f t="shared" si="31"/>
        <v>1500000</v>
      </c>
      <c r="Q37" s="48"/>
    </row>
    <row r="38" spans="2:20" x14ac:dyDescent="0.2">
      <c r="B38" s="96" t="s">
        <v>38</v>
      </c>
      <c r="C38" s="97">
        <v>75637.77</v>
      </c>
      <c r="D38" s="97">
        <v>0</v>
      </c>
      <c r="E38" s="97">
        <f t="shared" si="31"/>
        <v>75637.77</v>
      </c>
    </row>
    <row r="39" spans="2:20" x14ac:dyDescent="0.2">
      <c r="B39" s="98" t="s">
        <v>48</v>
      </c>
      <c r="C39" s="99">
        <v>835425</v>
      </c>
      <c r="D39" s="99">
        <v>0</v>
      </c>
      <c r="E39" s="99">
        <f t="shared" si="31"/>
        <v>835425</v>
      </c>
    </row>
    <row r="40" spans="2:20" x14ac:dyDescent="0.2">
      <c r="B40" s="45" t="s">
        <v>24</v>
      </c>
      <c r="C40" s="46">
        <f>SUM(C33:C39)</f>
        <v>20780597.77</v>
      </c>
      <c r="D40" s="46">
        <f>SUM(D33:D39)</f>
        <v>2752171</v>
      </c>
      <c r="E40" s="46">
        <f t="shared" si="31"/>
        <v>18028426.77</v>
      </c>
    </row>
  </sheetData>
  <mergeCells count="23">
    <mergeCell ref="B13:C13"/>
    <mergeCell ref="B14:B19"/>
    <mergeCell ref="AR8:AZ8"/>
    <mergeCell ref="AR29:AZ29"/>
    <mergeCell ref="AH8:AP8"/>
    <mergeCell ref="AH29:AP29"/>
    <mergeCell ref="D8:L8"/>
    <mergeCell ref="B30:C30"/>
    <mergeCell ref="D29:L29"/>
    <mergeCell ref="N8:V8"/>
    <mergeCell ref="X8:AF8"/>
    <mergeCell ref="N29:V29"/>
    <mergeCell ref="X29:AF29"/>
    <mergeCell ref="B26:C26"/>
    <mergeCell ref="B27:C27"/>
    <mergeCell ref="B28:C28"/>
    <mergeCell ref="B29:C29"/>
    <mergeCell ref="B10:C10"/>
    <mergeCell ref="B11:C11"/>
    <mergeCell ref="B20:B25"/>
    <mergeCell ref="B8:C8"/>
    <mergeCell ref="B9:C9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Expenditures 2018</vt:lpstr>
      <vt:lpstr>Good Venture 2018 - 2021</vt:lpstr>
      <vt:lpstr>Foundation 2 2019 - 2022</vt:lpstr>
      <vt:lpstr>Foundation 1 2019 - 2021</vt:lpstr>
      <vt:lpstr>Effect Hope 2019</vt:lpstr>
      <vt:lpstr>summary VAS 2018 - 2021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2019-04-03T17:42:43Z</cp:lastPrinted>
  <dcterms:created xsi:type="dcterms:W3CDTF">2018-04-17T11:28:28Z</dcterms:created>
  <dcterms:modified xsi:type="dcterms:W3CDTF">2019-11-07T02:19:24Z</dcterms:modified>
  <cp:category/>
</cp:coreProperties>
</file>