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0" yWindow="960" windowWidth="3120" windowHeight="1720" tabRatio="681" activeTab="2"/>
  </bookViews>
  <sheets>
    <sheet name="Beneficiaries" sheetId="1" r:id="rId1"/>
    <sheet name="Program Financing" sheetId="2" r:id="rId2"/>
    <sheet name="GW calculations" sheetId="3" r:id="rId3"/>
    <sheet name="Number of GsPsIPs" sheetId="4" r:id="rId4"/>
  </sheets>
  <definedNames/>
  <calcPr fullCalcOnLoad="1"/>
</workbook>
</file>

<file path=xl/comments1.xml><?xml version="1.0" encoding="utf-8"?>
<comments xmlns="http://schemas.openxmlformats.org/spreadsheetml/2006/main">
  <authors>
    <author>Author</author>
    <author>Mark Reiff</author>
  </authors>
  <commentList>
    <comment ref="B14" authorId="0">
      <text>
        <r>
          <rPr>
            <sz val="9"/>
            <rFont val="Calibri"/>
            <family val="2"/>
          </rPr>
          <t>DtW has agreed to treat 200k SACs regardless of coverage rate.</t>
        </r>
      </text>
    </comment>
    <comment ref="D6" authorId="0">
      <text>
        <r>
          <rPr>
            <sz val="9"/>
            <rFont val="Calibri"/>
            <family val="2"/>
          </rPr>
          <t xml:space="preserve">630 HW+6381 teachers
6381 teachers trained translates from HT outputs sheet
630 Health Workers (2 per 315 targeted to be reached
</t>
        </r>
      </text>
    </comment>
    <comment ref="D14" authorId="0">
      <text>
        <r>
          <rPr>
            <b/>
            <sz val="9"/>
            <rFont val="Calibri"/>
            <family val="2"/>
          </rPr>
          <t>As per MOU. AT LEAST  150 district and provincials, 800 teachers</t>
        </r>
        <r>
          <rPr>
            <sz val="9"/>
            <rFont val="Calibri"/>
            <family val="2"/>
          </rPr>
          <t xml:space="preserve">
</t>
        </r>
      </text>
    </comment>
    <comment ref="B6" authorId="0">
      <text>
        <r>
          <rPr>
            <sz val="9"/>
            <rFont val="Calibri"/>
            <family val="2"/>
          </rPr>
          <t xml:space="preserve">Expected to go up once we have more solid data from the mapping.
</t>
        </r>
      </text>
    </comment>
    <comment ref="D15" authorId="0">
      <text>
        <r>
          <rPr>
            <b/>
            <sz val="9"/>
            <rFont val="Calibri"/>
            <family val="2"/>
          </rPr>
          <t>From MOU</t>
        </r>
      </text>
    </comment>
    <comment ref="B19" authorId="0">
      <text>
        <r>
          <rPr>
            <sz val="9"/>
            <rFont val="Calibri"/>
            <family val="2"/>
          </rPr>
          <t>MDA is anticipated to reach both adults and children in 2014
Program year timing issue</t>
        </r>
      </text>
    </comment>
    <comment ref="B18" authorId="0">
      <text>
        <r>
          <rPr>
            <sz val="9"/>
            <rFont val="Calibri"/>
            <family val="2"/>
          </rPr>
          <t>85% of SAC and pre-SAC in Phase 1 and 2 mapping regions</t>
        </r>
      </text>
    </comment>
    <comment ref="B21" authorId="0">
      <text>
        <r>
          <rPr>
            <b/>
            <sz val="9"/>
            <rFont val="Calibri"/>
            <family val="2"/>
          </rPr>
          <t>Final Legatum SI2 MDA target.</t>
        </r>
        <r>
          <rPr>
            <sz val="9"/>
            <rFont val="Calibri"/>
            <family val="2"/>
          </rPr>
          <t xml:space="preserve">
</t>
        </r>
      </text>
    </comment>
    <comment ref="F6" authorId="0">
      <text>
        <r>
          <rPr>
            <sz val="9"/>
            <rFont val="Calibri"/>
            <family val="2"/>
          </rPr>
          <t xml:space="preserve">Population estimates continue to be rough.  This number aligns with our best understanding Feb 2014
</t>
        </r>
      </text>
    </comment>
    <comment ref="D18" authorId="0">
      <text>
        <r>
          <rPr>
            <sz val="9"/>
            <rFont val="Calibri"/>
            <family val="2"/>
          </rPr>
          <t xml:space="preserve">2 per school for 1157 schools totaled from initial protocol.
89+308+223+245+113+179
</t>
        </r>
      </text>
    </comment>
    <comment ref="I16" authorId="0">
      <text>
        <r>
          <rPr>
            <sz val="9"/>
            <rFont val="Calibri"/>
            <family val="2"/>
          </rPr>
          <t xml:space="preserve">Less people were found to be trained and receive surgery. This is why numbers were lower than initial projections.
Projected for 2014:
216 Hydrocele Surgeries
57 retrained surgeons
300 patients trained for personal lymphadema mgmt
300 washing kits distributed to patients
</t>
        </r>
      </text>
    </comment>
    <comment ref="B28" authorId="0">
      <text>
        <r>
          <rPr>
            <sz val="9"/>
            <rFont val="Calibri"/>
            <family val="2"/>
          </rPr>
          <t>treatment activities have been delayed since mapping activities have been added. treatment will follow the establishment of the prevalence baseline
treatment will hopefully occur in early 2014</t>
        </r>
      </text>
    </comment>
    <comment ref="C28" authorId="0">
      <text>
        <r>
          <rPr>
            <sz val="9"/>
            <rFont val="Calibri"/>
            <family val="2"/>
          </rPr>
          <t>Accoring to tables in 31 Jan report</t>
        </r>
      </text>
    </comment>
    <comment ref="D28" authorId="0">
      <text>
        <r>
          <rPr>
            <sz val="9"/>
            <rFont val="Calibri"/>
            <family val="2"/>
          </rPr>
          <t>2 teachers are trained at each school, 50% schools will be reached in year 1  + 210 health teams at an average estimate of 5 workers per centre</t>
        </r>
      </text>
    </comment>
    <comment ref="E28" authorId="0">
      <text>
        <r>
          <rPr>
            <sz val="9"/>
            <rFont val="Calibri"/>
            <family val="2"/>
          </rPr>
          <t xml:space="preserve">2 teachers per school for each school that participated in 2013 MDA
</t>
        </r>
      </text>
    </comment>
    <comment ref="B33" authorId="0">
      <text>
        <r>
          <rPr>
            <sz val="9"/>
            <rFont val="Calibri"/>
            <family val="2"/>
          </rPr>
          <t xml:space="preserve">Deworming is planned to occur in January 2014
</t>
        </r>
      </text>
    </comment>
    <comment ref="B29" authorId="0">
      <text>
        <r>
          <rPr>
            <sz val="9"/>
            <rFont val="Calibri"/>
            <family val="2"/>
          </rPr>
          <t>Early indications from the Rutana impact survey would show that prevalence levels are above MDA thresholds and that future treatment may be necessary</t>
        </r>
      </text>
    </comment>
    <comment ref="B30" authorId="0">
      <text>
        <r>
          <rPr>
            <sz val="9"/>
            <rFont val="Calibri"/>
            <family val="2"/>
          </rPr>
          <t xml:space="preserve">With the instability in CAR, it is unlikely that any treatment activities will occur in 2013.
</t>
        </r>
      </text>
    </comment>
    <comment ref="E32" authorId="0">
      <text>
        <r>
          <rPr>
            <sz val="9"/>
            <rFont val="Calibri"/>
            <family val="2"/>
          </rPr>
          <t xml:space="preserve">In the due diligence process it was reported that this already happened.
</t>
        </r>
      </text>
    </comment>
    <comment ref="B34" authorId="0">
      <text>
        <r>
          <rPr>
            <sz val="9"/>
            <rFont val="Calibri"/>
            <family val="2"/>
          </rPr>
          <t>DtW has committed to 80% coverage rates, but its impossible to know exactly how many are actuatlly targeted until mapping is complete.  As such, we have used the 180,000 figure because that is the number of treatments budgeted by DtW.</t>
        </r>
      </text>
    </comment>
    <comment ref="C36" authorId="0">
      <text>
        <r>
          <rPr>
            <sz val="9"/>
            <rFont val="Calibri"/>
            <family val="2"/>
          </rPr>
          <t>Some treatments did occur in very early 2014 but were part of the 2013 campaign and should be applied to 2013.</t>
        </r>
      </text>
    </comment>
    <comment ref="E36" authorId="0">
      <text>
        <r>
          <rPr>
            <b/>
            <sz val="9"/>
            <rFont val="Calibri"/>
            <family val="2"/>
          </rPr>
          <t>From Final report: 
92 Trainers
1331 HW
25595 CDDs</t>
        </r>
        <r>
          <rPr>
            <sz val="9"/>
            <rFont val="Calibri"/>
            <family val="2"/>
          </rPr>
          <t xml:space="preserve">
</t>
        </r>
      </text>
    </comment>
    <comment ref="C37" authorId="0">
      <text>
        <r>
          <rPr>
            <b/>
            <sz val="9"/>
            <rFont val="Calibri"/>
            <family val="2"/>
          </rPr>
          <t>Number of kids in Phase 2 survey</t>
        </r>
        <r>
          <rPr>
            <sz val="9"/>
            <rFont val="Calibri"/>
            <family val="2"/>
          </rPr>
          <t xml:space="preserve">
</t>
        </r>
      </text>
    </comment>
    <comment ref="E37" authorId="0">
      <text>
        <r>
          <rPr>
            <b/>
            <sz val="9"/>
            <rFont val="Calibri"/>
            <family val="2"/>
          </rPr>
          <t>We never actually set this target since the plans for MDA did not materialize.  But we did train 26, including me</t>
        </r>
        <r>
          <rPr>
            <sz val="9"/>
            <rFont val="Calibri"/>
            <family val="2"/>
          </rPr>
          <t xml:space="preserve">
</t>
        </r>
      </text>
    </comment>
    <comment ref="F37" authorId="0">
      <text>
        <r>
          <rPr>
            <sz val="9"/>
            <rFont val="Calibri"/>
            <family val="2"/>
          </rPr>
          <t>Phase 2 Mapping in Omusati, Oshana, Oshikoto, Ohangwena to occur in Oct-Nov 2013</t>
        </r>
      </text>
    </comment>
    <comment ref="C38" authorId="0">
      <text>
        <r>
          <rPr>
            <sz val="9"/>
            <rFont val="Calibri"/>
            <family val="2"/>
          </rPr>
          <t xml:space="preserve">Totals reported 30 Oct.
81.45% coverage of 36,161.
</t>
        </r>
      </text>
    </comment>
    <comment ref="C39" authorId="0">
      <text>
        <r>
          <rPr>
            <b/>
            <sz val="9"/>
            <rFont val="Calibri"/>
            <family val="2"/>
          </rPr>
          <t xml:space="preserve">Final validated numbers from SSI at closeout. </t>
        </r>
      </text>
    </comment>
    <comment ref="E39" authorId="0">
      <text>
        <r>
          <rPr>
            <sz val="9"/>
            <rFont val="Calibri"/>
            <family val="2"/>
          </rPr>
          <t xml:space="preserve">Final validated numbers from SSI at closeout.
</t>
        </r>
      </text>
    </comment>
    <comment ref="C40" authorId="0">
      <text>
        <r>
          <rPr>
            <sz val="9"/>
            <rFont val="Calibri"/>
            <family val="2"/>
          </rPr>
          <t>31 Jan reported results.
5,235,647 includes the treatment of both children and adults.  The 2013 MDA ultimately only targeted children for treatment, resulting in the reported total at a high rate of treatment coverage.</t>
        </r>
      </text>
    </comment>
    <comment ref="B41" authorId="0">
      <text>
        <r>
          <rPr>
            <sz val="9"/>
            <rFont val="Calibri"/>
            <family val="2"/>
          </rPr>
          <t xml:space="preserve">total population of 13 million targeted for treatment.  9.6 million of these 13 million are projected to receive treatment at target coverage rates
</t>
        </r>
      </text>
    </comment>
    <comment ref="C41" authorId="0">
      <text>
        <r>
          <rPr>
            <sz val="9"/>
            <rFont val="Calibri"/>
            <family val="2"/>
          </rPr>
          <t>From 31 Jan Final Report</t>
        </r>
      </text>
    </comment>
    <comment ref="F41" authorId="0">
      <text>
        <r>
          <rPr>
            <sz val="9"/>
            <rFont val="Calibri"/>
            <family val="2"/>
          </rPr>
          <t>All treated districts are being remapped, thus all in target population are mapping beneficiaries.  
Since the EF grant is for Technical Assistance, it is arguable that our funding is much more closely linked to this program outcome than any other target on this sheet.</t>
        </r>
      </text>
    </comment>
    <comment ref="G41" authorId="0">
      <text>
        <r>
          <rPr>
            <sz val="9"/>
            <rFont val="Calibri"/>
            <family val="2"/>
          </rPr>
          <t xml:space="preserve">Data collected from 8,000 individuals to set a program monitoring baseline and national disease risk map.  All pieces are also in place for nationwide remapping in early 2014 as agreed in original MOU.  
</t>
        </r>
      </text>
    </comment>
    <comment ref="C42" authorId="0">
      <text>
        <r>
          <rPr>
            <sz val="9"/>
            <rFont val="Calibri"/>
            <family val="2"/>
          </rPr>
          <t xml:space="preserve">From the numbers Alfred passed on to Colleen
</t>
        </r>
      </text>
    </comment>
    <comment ref="C43" authorId="0">
      <text>
        <r>
          <rPr>
            <sz val="9"/>
            <rFont val="Calibri"/>
            <family val="2"/>
          </rPr>
          <t>MDA occurred in 2013, however SCI did not have agreement in place with Zim Gov and funding was not delivered.  
Once agreement is finalized and funding is wired, funds will be backdated and treatment numbers will be available. Until that point, this number must be 0.</t>
        </r>
      </text>
    </comment>
    <comment ref="H54" authorId="0">
      <text>
        <r>
          <rPr>
            <sz val="9"/>
            <rFont val="Calibri"/>
            <family val="2"/>
          </rPr>
          <t>763 in 2012
547 in 2013</t>
        </r>
      </text>
    </comment>
    <comment ref="D11" authorId="0">
      <text>
        <r>
          <rPr>
            <sz val="9"/>
            <rFont val="Calibri"/>
            <family val="2"/>
          </rPr>
          <t xml:space="preserve">PA Revision-
1000 officials
9000 teachers
9000 health ext workers
</t>
        </r>
      </text>
    </comment>
    <comment ref="B12" authorId="0">
      <text>
        <r>
          <rPr>
            <b/>
            <sz val="9"/>
            <rFont val="Calibri"/>
            <family val="2"/>
          </rPr>
          <t>3.6m projected for Y1, scaling to 10m by Y3</t>
        </r>
        <r>
          <rPr>
            <sz val="9"/>
            <rFont val="Calibri"/>
            <family val="2"/>
          </rPr>
          <t xml:space="preserve">
</t>
        </r>
      </text>
    </comment>
    <comment ref="E13" authorId="0">
      <text>
        <r>
          <rPr>
            <sz val="9"/>
            <rFont val="Calibri"/>
            <family val="2"/>
          </rPr>
          <t>31 July Report
1,219 gov resource persons, 64,535 teachers. 
In total, Bihar has 70,716 schools and one teacher was invited from each school. Only 64k were able to attend, however since this was Y3 of annual distribution, it did not completely preclude thouse schools from participating</t>
        </r>
      </text>
    </comment>
    <comment ref="C14" authorId="0">
      <text>
        <r>
          <rPr>
            <sz val="9"/>
            <rFont val="Calibri"/>
            <family val="2"/>
          </rPr>
          <t xml:space="preserve">According to July 2014 report
</t>
        </r>
      </text>
    </comment>
    <comment ref="F9" authorId="0">
      <text>
        <r>
          <rPr>
            <sz val="9"/>
            <rFont val="Calibri"/>
            <family val="2"/>
          </rPr>
          <t xml:space="preserve">32.5m moved to 2013 for annual glossy as per EA request
</t>
        </r>
      </text>
    </comment>
    <comment ref="C6" authorId="0">
      <text>
        <r>
          <rPr>
            <b/>
            <sz val="9"/>
            <rFont val="Calibri"/>
            <family val="2"/>
          </rPr>
          <t>Children treated in Zaire from Mapping Activities</t>
        </r>
        <r>
          <rPr>
            <sz val="9"/>
            <rFont val="Calibri"/>
            <family val="2"/>
          </rPr>
          <t xml:space="preserve">
</t>
        </r>
      </text>
    </comment>
    <comment ref="E6" authorId="0">
      <text>
        <r>
          <rPr>
            <b/>
            <sz val="9"/>
            <rFont val="Calibri"/>
            <family val="2"/>
          </rPr>
          <t>254 HWs trained to date by end Q2
45 HWs trained for mapping</t>
        </r>
        <r>
          <rPr>
            <sz val="9"/>
            <rFont val="Calibri"/>
            <family val="2"/>
          </rPr>
          <t xml:space="preserve">
</t>
        </r>
      </text>
    </comment>
    <comment ref="G6" authorId="0">
      <text>
        <r>
          <rPr>
            <b/>
            <sz val="9"/>
            <rFont val="Calibri"/>
            <family val="2"/>
          </rPr>
          <t>Full mapping report not yet received.</t>
        </r>
        <r>
          <rPr>
            <sz val="9"/>
            <rFont val="Calibri"/>
            <family val="2"/>
          </rPr>
          <t xml:space="preserve">
</t>
        </r>
      </text>
    </comment>
    <comment ref="C19" authorId="0">
      <text>
        <r>
          <rPr>
            <sz val="9"/>
            <rFont val="Calibri"/>
            <family val="2"/>
          </rPr>
          <t xml:space="preserve">Trmnt in March
</t>
        </r>
      </text>
    </comment>
    <comment ref="D16" authorId="0">
      <text>
        <r>
          <rPr>
            <sz val="9"/>
            <rFont val="Calibri"/>
            <family val="2"/>
          </rPr>
          <t xml:space="preserve">Retrained Surgeons and  Patients trained in limb care. Revised down from 357. See comment in surgeries cell for more detail.
</t>
        </r>
      </text>
    </comment>
    <comment ref="B15" authorId="0">
      <text>
        <r>
          <rPr>
            <sz val="9"/>
            <rFont val="Calibri"/>
            <family val="2"/>
          </rPr>
          <t xml:space="preserve">Bomi (over 32,000 SAC 
- Gbarpolu (over 28,000 SAC  
- Grand Bassa (over 74,000 SAC  
- Grand Gedeh (over 28,000 SAC  
- Margibi (over 55,000 SAC
- Rivergee (over 22,000 SAC 
- Rivercess (over 22,000 SAC
</t>
        </r>
      </text>
    </comment>
    <comment ref="C34" authorId="1">
      <text>
        <r>
          <rPr>
            <b/>
            <sz val="9"/>
            <rFont val="Calibri"/>
            <family val="2"/>
          </rPr>
          <t>Mark Reiff:</t>
        </r>
        <r>
          <rPr>
            <sz val="9"/>
            <rFont val="Calibri"/>
            <family val="2"/>
          </rPr>
          <t xml:space="preserve">
Confirmed in July 2014 Report</t>
        </r>
      </text>
    </comment>
    <comment ref="E16" authorId="0">
      <text>
        <r>
          <rPr>
            <b/>
            <sz val="9"/>
            <rFont val="Calibri"/>
            <family val="2"/>
          </rPr>
          <t>38 Surgeons
37 trained in limb care</t>
        </r>
        <r>
          <rPr>
            <sz val="9"/>
            <rFont val="Calibri"/>
            <family val="2"/>
          </rPr>
          <t xml:space="preserve">
</t>
        </r>
      </text>
    </comment>
    <comment ref="B8" authorId="0">
      <text>
        <r>
          <rPr>
            <sz val="9"/>
            <rFont val="Calibri"/>
            <family val="2"/>
          </rPr>
          <t xml:space="preserve">In Sept 2014 Board Report, the 10,000,000 beneficiary target is in reference to the total program target of 10,211,905. 
The reduced amount is based on the EF's share of that total population based on treatment proportions and is intentionally different from the report.
</t>
        </r>
      </text>
    </comment>
    <comment ref="D8" authorId="0">
      <text>
        <r>
          <rPr>
            <b/>
            <sz val="9"/>
            <rFont val="Calibri"/>
            <family val="2"/>
          </rPr>
          <t>Tentatively 2,478, but could be increased to 12,793.</t>
        </r>
        <r>
          <rPr>
            <sz val="9"/>
            <rFont val="Calibri"/>
            <family val="2"/>
          </rPr>
          <t xml:space="preserve">
</t>
        </r>
      </text>
    </comment>
    <comment ref="D12" authorId="1">
      <text>
        <r>
          <rPr>
            <b/>
            <sz val="9"/>
            <rFont val="Calibri"/>
            <family val="2"/>
          </rPr>
          <t>Mark Reiff:</t>
        </r>
        <r>
          <rPr>
            <sz val="9"/>
            <rFont val="Calibri"/>
            <family val="2"/>
          </rPr>
          <t xml:space="preserve">
To be Confirmed w/ SCI</t>
        </r>
      </text>
    </comment>
    <comment ref="D17" authorId="0">
      <text>
        <r>
          <rPr>
            <b/>
            <sz val="9"/>
            <rFont val="Calibri"/>
            <family val="2"/>
          </rPr>
          <t>To be determined during life of grant. Should be minimal final amount around 100.</t>
        </r>
      </text>
    </comment>
    <comment ref="E19" authorId="1">
      <text>
        <r>
          <rPr>
            <b/>
            <sz val="9"/>
            <rFont val="Calibri"/>
            <family val="2"/>
          </rPr>
          <t>Mark Reiff:</t>
        </r>
        <r>
          <rPr>
            <sz val="9"/>
            <rFont val="Calibri"/>
            <family val="2"/>
          </rPr>
          <t xml:space="preserve">
108 Lab techs</t>
        </r>
      </text>
    </comment>
    <comment ref="B20" authorId="0">
      <text>
        <r>
          <rPr>
            <sz val="9"/>
            <rFont val="Calibri"/>
            <family val="2"/>
          </rPr>
          <t xml:space="preserve">4.08 for STH/SCH and 120k for Oncho
</t>
        </r>
      </text>
    </comment>
  </commentList>
</comments>
</file>

<file path=xl/comments2.xml><?xml version="1.0" encoding="utf-8"?>
<comments xmlns="http://schemas.openxmlformats.org/spreadsheetml/2006/main">
  <authors>
    <author>Author</author>
    <author>Mark Reiff</author>
  </authors>
  <commentList>
    <comment ref="B32" authorId="0">
      <text>
        <r>
          <rPr>
            <sz val="9"/>
            <rFont val="Calibri"/>
            <family val="2"/>
          </rPr>
          <t xml:space="preserve">The volume committed to date after the MOU modificiation brought the total commitment from $968,723 to the current amount of $783,604.  Therefore, the TO DATE commitment is the lesser number.
</t>
        </r>
      </text>
    </comment>
    <comment ref="G23" authorId="0">
      <text>
        <r>
          <rPr>
            <sz val="9"/>
            <rFont val="Calibri"/>
            <family val="2"/>
          </rPr>
          <t>£311,702-£203,562.60 which was disbursed leaves us with £108139.4 estimated at a 1.5 fx rate</t>
        </r>
      </text>
    </comment>
    <comment ref="A11" authorId="0">
      <text>
        <r>
          <rPr>
            <b/>
            <sz val="9"/>
            <rFont val="Calibri"/>
            <family val="2"/>
          </rPr>
          <t>Did receive a no cost extension to complete workshop. Still in closeout process.</t>
        </r>
        <r>
          <rPr>
            <sz val="9"/>
            <rFont val="Calibri"/>
            <family val="2"/>
          </rPr>
          <t xml:space="preserve">
</t>
        </r>
      </text>
    </comment>
    <comment ref="B14" authorId="0">
      <text>
        <r>
          <rPr>
            <sz val="9"/>
            <rFont val="Calibri"/>
            <family val="2"/>
          </rPr>
          <t xml:space="preserve">To be $1875000
</t>
        </r>
      </text>
    </comment>
    <comment ref="E20" authorId="0">
      <text>
        <r>
          <rPr>
            <sz val="9"/>
            <rFont val="Calibri"/>
            <family val="2"/>
          </rPr>
          <t xml:space="preserve">Mali program also received remaining funds from Niger HKI program, but this was the cash that left the EF
</t>
        </r>
      </text>
    </comment>
    <comment ref="E23" authorId="0">
      <text>
        <r>
          <rPr>
            <b/>
            <sz val="9"/>
            <rFont val="Calibri"/>
            <family val="2"/>
          </rPr>
          <t>£203,562.6 * 16 May fx rate - 1.6809 = $342,168.37</t>
        </r>
        <r>
          <rPr>
            <sz val="9"/>
            <rFont val="Calibri"/>
            <family val="2"/>
          </rPr>
          <t xml:space="preserve">
</t>
        </r>
      </text>
    </comment>
    <comment ref="G15" authorId="0">
      <text>
        <r>
          <rPr>
            <b/>
            <sz val="9"/>
            <rFont val="Calibri"/>
            <family val="2"/>
          </rPr>
          <t>Remaining commitment plus MM and BMGF/AA funds</t>
        </r>
      </text>
    </comment>
    <comment ref="B12" authorId="1">
      <text>
        <r>
          <rPr>
            <b/>
            <sz val="9"/>
            <rFont val="Calibri"/>
            <family val="2"/>
          </rPr>
          <t>Mark Reiff:</t>
        </r>
        <r>
          <rPr>
            <sz val="9"/>
            <rFont val="Calibri"/>
            <family val="2"/>
          </rPr>
          <t xml:space="preserve">
To be $105,885 unless EA agrees to full balance of $118,378</t>
        </r>
      </text>
    </comment>
    <comment ref="D37" authorId="0">
      <text>
        <r>
          <rPr>
            <sz val="9"/>
            <rFont val="Calibri"/>
            <family val="2"/>
          </rPr>
          <t xml:space="preserve">In total, $82,500 was wired. $50,500 was returned on SCI's inability to deliver program.
</t>
        </r>
      </text>
    </comment>
    <comment ref="B21" authorId="0">
      <text>
        <r>
          <rPr>
            <b/>
            <sz val="9"/>
            <rFont val="Calibri"/>
            <family val="2"/>
          </rPr>
          <t>$52,793</t>
        </r>
        <r>
          <rPr>
            <sz val="9"/>
            <rFont val="Calibri"/>
            <family val="2"/>
          </rPr>
          <t xml:space="preserve">
</t>
        </r>
      </text>
    </comment>
    <comment ref="B26" authorId="0">
      <text>
        <r>
          <rPr>
            <b/>
            <sz val="9"/>
            <rFont val="Calibri"/>
            <family val="2"/>
          </rPr>
          <t>This total includes $50,500 returned from SCI.  And if Zakharov gets his final tranche in on time it could be increased by $32k</t>
        </r>
        <r>
          <rPr>
            <sz val="9"/>
            <rFont val="Calibri"/>
            <family val="2"/>
          </rPr>
          <t xml:space="preserve">
</t>
        </r>
      </text>
    </comment>
  </commentList>
</comments>
</file>

<file path=xl/comments3.xml><?xml version="1.0" encoding="utf-8"?>
<comments xmlns="http://schemas.openxmlformats.org/spreadsheetml/2006/main">
  <authors>
    <author>Author</author>
  </authors>
  <commentList>
    <comment ref="B33" authorId="0">
      <text>
        <r>
          <rPr>
            <b/>
            <sz val="9"/>
            <rFont val="Tahoma"/>
            <family val="2"/>
          </rPr>
          <t>Author:</t>
        </r>
        <r>
          <rPr>
            <sz val="9"/>
            <rFont val="Tahoma"/>
            <family val="2"/>
          </rPr>
          <t xml:space="preserve">
Our calculation for total disbursed to date is $32,500 more than the total listed in cell F39 on the Program Financing sheet. An apparent calculation error in cell F38 on the Program Financing sheet accounts for the difference.   </t>
        </r>
      </text>
    </comment>
  </commentList>
</comments>
</file>

<file path=xl/comments4.xml><?xml version="1.0" encoding="utf-8"?>
<comments xmlns="http://schemas.openxmlformats.org/spreadsheetml/2006/main">
  <authors>
    <author>Author</author>
    <author>Mark Reiff</author>
  </authors>
  <commentList>
    <comment ref="G4" authorId="0">
      <text>
        <r>
          <rPr>
            <b/>
            <sz val="9"/>
            <rFont val="Calibri"/>
            <family val="2"/>
          </rPr>
          <t>LAC</t>
        </r>
      </text>
    </comment>
    <comment ref="G3" authorId="0">
      <text>
        <r>
          <rPr>
            <b/>
            <sz val="9"/>
            <rFont val="Calibri"/>
            <family val="2"/>
          </rPr>
          <t>ME/Asia</t>
        </r>
        <r>
          <rPr>
            <sz val="9"/>
            <rFont val="Calibri"/>
            <family val="2"/>
          </rPr>
          <t xml:space="preserve">
</t>
        </r>
      </text>
    </comment>
    <comment ref="G2" authorId="0">
      <text>
        <r>
          <rPr>
            <b/>
            <sz val="9"/>
            <rFont val="Calibri"/>
            <family val="2"/>
          </rPr>
          <t>Africa</t>
        </r>
        <r>
          <rPr>
            <sz val="9"/>
            <rFont val="Calibri"/>
            <family val="2"/>
          </rPr>
          <t xml:space="preserve">
</t>
        </r>
      </text>
    </comment>
    <comment ref="I13" authorId="1">
      <text>
        <r>
          <rPr>
            <b/>
            <sz val="9"/>
            <rFont val="Calibri"/>
            <family val="2"/>
          </rPr>
          <t>Mark Reiff:</t>
        </r>
        <r>
          <rPr>
            <sz val="9"/>
            <rFont val="Calibri"/>
            <family val="2"/>
          </rPr>
          <t xml:space="preserve">
Zambia. </t>
        </r>
      </text>
    </comment>
    <comment ref="F7" authorId="0">
      <text>
        <r>
          <rPr>
            <b/>
            <sz val="9"/>
            <rFont val="Calibri"/>
            <family val="2"/>
          </rPr>
          <t>For using some Kili funds</t>
        </r>
        <r>
          <rPr>
            <sz val="9"/>
            <rFont val="Calibri"/>
            <family val="2"/>
          </rPr>
          <t xml:space="preserve">
</t>
        </r>
      </text>
    </comment>
    <comment ref="F8" authorId="0">
      <text>
        <r>
          <rPr>
            <b/>
            <sz val="9"/>
            <rFont val="Calibri"/>
            <family val="2"/>
          </rPr>
          <t>DRC, Nigeria and Ethiopia are all Al Wahleed</t>
        </r>
        <r>
          <rPr>
            <sz val="9"/>
            <rFont val="Calibri"/>
            <family val="2"/>
          </rPr>
          <t xml:space="preserve">
</t>
        </r>
      </text>
    </comment>
  </commentList>
</comments>
</file>

<file path=xl/sharedStrings.xml><?xml version="1.0" encoding="utf-8"?>
<sst xmlns="http://schemas.openxmlformats.org/spreadsheetml/2006/main" count="322" uniqueCount="174">
  <si>
    <t>St. Kitts and the Grenadines</t>
  </si>
  <si>
    <t>Suriname</t>
  </si>
  <si>
    <t>Trinidad and Tobago</t>
  </si>
  <si>
    <t>Uruguay</t>
  </si>
  <si>
    <t>Venezuela</t>
  </si>
  <si>
    <t>Burkina Faso</t>
  </si>
  <si>
    <t>Congo - Brazzaville</t>
  </si>
  <si>
    <t>If country is active at any time in year, it’s a program of that year</t>
  </si>
  <si>
    <t>Ethiopia - Cargill/SCI</t>
  </si>
  <si>
    <t>Ethiopia SCI/Cargill</t>
  </si>
  <si>
    <t>2012 Progams</t>
  </si>
  <si>
    <t>Reported</t>
  </si>
  <si>
    <t>2013 Programs</t>
  </si>
  <si>
    <t>Trained</t>
  </si>
  <si>
    <t>Treated</t>
  </si>
  <si>
    <t>Total in Mapped Regions</t>
  </si>
  <si>
    <t>2014 Programs</t>
  </si>
  <si>
    <t>Ethiopia MoH</t>
  </si>
  <si>
    <t>Ethiopia SCI</t>
  </si>
  <si>
    <t>Ethiopia MoH/Shefa</t>
  </si>
  <si>
    <t>Grand Total:</t>
  </si>
  <si>
    <t>Ethiopia FMoH</t>
  </si>
  <si>
    <t>Short term</t>
  </si>
  <si>
    <t>Long term</t>
  </si>
  <si>
    <t xml:space="preserve">Cote D'Ivoire </t>
  </si>
  <si>
    <t>DRC APOC</t>
  </si>
  <si>
    <t>APOC</t>
  </si>
  <si>
    <t>Synergos</t>
  </si>
  <si>
    <t>Zimbawe Family Health MoH Dept</t>
  </si>
  <si>
    <t>Fred Hollows</t>
  </si>
  <si>
    <t>UFAR</t>
  </si>
  <si>
    <t>MITOSATH</t>
  </si>
  <si>
    <t>Past Implementing Partners</t>
  </si>
  <si>
    <t>Mali/Niger</t>
  </si>
  <si>
    <t>Cote D'Ivoire</t>
  </si>
  <si>
    <t>Namibia LATH/GGI</t>
  </si>
  <si>
    <t>Zimbabwe MoHCW</t>
  </si>
  <si>
    <t>Ethiopia</t>
  </si>
  <si>
    <t>Zimbabwe SCI</t>
  </si>
  <si>
    <t>Wake Forrest University/Surgey tool company?</t>
  </si>
  <si>
    <t>Mali/Niger Headstart</t>
  </si>
  <si>
    <t>Mali/Niger - Headstart</t>
  </si>
  <si>
    <t>This information is as of 30 August 2014</t>
  </si>
  <si>
    <t>2012 Programs</t>
  </si>
  <si>
    <t>Projected 2015 Programs</t>
  </si>
  <si>
    <t>DRC</t>
  </si>
  <si>
    <t>Nigeria</t>
  </si>
  <si>
    <t>RTI</t>
  </si>
  <si>
    <t>KCCO</t>
  </si>
  <si>
    <t>Tanzania MoH</t>
  </si>
  <si>
    <t>ICTC - Tanzania</t>
  </si>
  <si>
    <t>Country</t>
  </si>
  <si>
    <t>Total commitment</t>
  </si>
  <si>
    <t xml:space="preserve">% of total commitment </t>
  </si>
  <si>
    <t>Total disbursed to date (Sept 2014)</t>
  </si>
  <si>
    <t>% of total disbursement</t>
  </si>
  <si>
    <t>Angola</t>
  </si>
  <si>
    <t>Burundi</t>
  </si>
  <si>
    <t>India</t>
  </si>
  <si>
    <t>Kenya</t>
  </si>
  <si>
    <t>Liberia</t>
  </si>
  <si>
    <t>Mali</t>
  </si>
  <si>
    <t>Namibia</t>
  </si>
  <si>
    <t>Rwanda</t>
  </si>
  <si>
    <t>Yemen</t>
  </si>
  <si>
    <t>Zimbabwe</t>
  </si>
  <si>
    <t>Niger</t>
  </si>
  <si>
    <t>Total additional commitment</t>
  </si>
  <si>
    <t>Number treated</t>
  </si>
  <si>
    <t>Number Trained</t>
  </si>
  <si>
    <t>Current Implementing Partners</t>
  </si>
  <si>
    <t>Potential Implementing Partners</t>
  </si>
  <si>
    <t>SCI</t>
  </si>
  <si>
    <t>CBM</t>
  </si>
  <si>
    <t>The MENTOR Initiative</t>
  </si>
  <si>
    <t>HKI</t>
  </si>
  <si>
    <t>Sightsavers</t>
  </si>
  <si>
    <t>Worldvision</t>
  </si>
  <si>
    <t>Volume Committed to date</t>
  </si>
  <si>
    <t>Volume Disbursed to Date</t>
  </si>
  <si>
    <t>Mali 080187</t>
  </si>
  <si>
    <t>Mali 080206</t>
  </si>
  <si>
    <t>Niger 080202</t>
  </si>
  <si>
    <t>Nigeria 080201</t>
  </si>
  <si>
    <t>Yemen 080200</t>
  </si>
  <si>
    <t>Zimbabwe 080180</t>
  </si>
  <si>
    <t>CAR 080195</t>
  </si>
  <si>
    <t>Angola 080194</t>
  </si>
  <si>
    <t>Burundi 080139</t>
  </si>
  <si>
    <t>Rwanda 080140</t>
  </si>
  <si>
    <t>Kenya 080179</t>
  </si>
  <si>
    <t>Namibia 080193</t>
  </si>
  <si>
    <t>Mali 080201</t>
  </si>
  <si>
    <t>Liberia 080196</t>
  </si>
  <si>
    <t>TBD</t>
  </si>
  <si>
    <t>Projected</t>
  </si>
  <si>
    <t>Totals</t>
  </si>
  <si>
    <t>ZACH</t>
  </si>
  <si>
    <t>Africare</t>
  </si>
  <si>
    <t>Closed Programs</t>
  </si>
  <si>
    <t>CNTD</t>
  </si>
  <si>
    <t>Total Population in Mapped Regions</t>
  </si>
  <si>
    <t>Active Programs</t>
  </si>
  <si>
    <t>GGI/EF</t>
  </si>
  <si>
    <t>Short-term</t>
  </si>
  <si>
    <t>Long-term</t>
  </si>
  <si>
    <t>Volume Disbursed 2012</t>
  </si>
  <si>
    <t>Volume Disbursed 2013</t>
  </si>
  <si>
    <t>Zambia</t>
  </si>
  <si>
    <t>Countries actively researched</t>
  </si>
  <si>
    <t>Afghanistan</t>
  </si>
  <si>
    <t>Benin</t>
  </si>
  <si>
    <t>Cameroon</t>
  </si>
  <si>
    <t>Chad</t>
  </si>
  <si>
    <t>Cote d'Ivoire</t>
  </si>
  <si>
    <t>Egypt</t>
  </si>
  <si>
    <t>Ghana</t>
  </si>
  <si>
    <t>Guinea-Conakry</t>
  </si>
  <si>
    <t>Lesotho</t>
  </si>
  <si>
    <t>Madagascar</t>
  </si>
  <si>
    <t>Malawi</t>
  </si>
  <si>
    <t>Mauritania</t>
  </si>
  <si>
    <t>Mozambique</t>
  </si>
  <si>
    <t>Pakistan</t>
  </si>
  <si>
    <t>Senegal</t>
  </si>
  <si>
    <t>Sierra Leone</t>
  </si>
  <si>
    <t>South Sudan</t>
  </si>
  <si>
    <t>Syria</t>
  </si>
  <si>
    <t>Tanzania</t>
  </si>
  <si>
    <t>Uganda</t>
  </si>
  <si>
    <t>Zambia (Funding not included)</t>
  </si>
  <si>
    <t>Sub-Total:</t>
  </si>
  <si>
    <t>Total</t>
  </si>
  <si>
    <t>DRC 080217</t>
  </si>
  <si>
    <t>Ethiopia 080218</t>
  </si>
  <si>
    <t>Deworm the World/Evidence Action</t>
  </si>
  <si>
    <t>Volume Disbursed 2014</t>
  </si>
  <si>
    <t>Remaining 2014 Disbursement</t>
  </si>
  <si>
    <t>India Bihar 080221</t>
  </si>
  <si>
    <t>India 080221</t>
  </si>
  <si>
    <t>Total Projected 2014</t>
  </si>
  <si>
    <t>Programs in development</t>
  </si>
  <si>
    <t>Ethiopia - Direct MoH</t>
  </si>
  <si>
    <t>Triciasis Surgeries</t>
  </si>
  <si>
    <t>Hydrocele Surgeries</t>
  </si>
  <si>
    <t>Yemen 2014</t>
  </si>
  <si>
    <t>Programs anticipated, but not yet established</t>
  </si>
  <si>
    <t>Antigua</t>
  </si>
  <si>
    <t>Argentina</t>
  </si>
  <si>
    <t>Bahamas</t>
  </si>
  <si>
    <t>Barbados</t>
  </si>
  <si>
    <t>Belize</t>
  </si>
  <si>
    <t>Bolivia</t>
  </si>
  <si>
    <t>Brazil</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</si>
  <si>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</si>
  <si>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</si>
  <si>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</si>
  <si>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</si>
  <si>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</si>
  <si>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</si>
  <si>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</si>
  <si>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</si>
  <si>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</si>
  <si>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</si>
  <si>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</si>
  <si>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</si>
  <si>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</si>
  <si>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</si>
  <si>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</si>
  <si>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</si>
  <si>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</si>
  <si>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</si>
  <si>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</si>
  <si>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St. Lucia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</si>
</sst>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quot;$&quot;#,##0"/>
    <numFmt numFmtId="168" formatCode="[$£-809]#,##0;\-[$£-809]#,##0"/>
    <numFmt numFmtId="169" formatCode="&quot;$&quot;#,##0.00"/>
    <numFmt numFmtId="170" formatCode="&quot;$&quot;#,##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409]dddd\,\ mmmm\ d\,\ yyyy"/>
    <numFmt numFmtId="177" formatCode="[$-409]h:mm:ss\ AM/PM"/>
    <numFmt numFmtId="178" formatCode="&quot;$&quot;#,##0.000"/>
    <numFmt numFmtId="179" formatCode="0.0%"/>
  </numFmts>
  <fonts count="30">
    <font>
      <sz val="12"/>
      <color indexed="8"/>
      <name val="Calibri"/>
      <family val="2"/>
    </font>
    <font>
      <sz val="9"/>
      <name val="Calibri"/>
      <family val="2"/>
    </font>
    <font>
      <b/>
      <sz val="9"/>
      <name val="Calibri"/>
      <family val="2"/>
    </font>
    <font>
      <sz val="8"/>
      <name val="Calibri"/>
      <family val="2"/>
    </font>
    <font>
      <sz val="9"/>
      <name val="Tahoma"/>
      <family val="2"/>
    </font>
    <font>
      <b/>
      <sz val="9"/>
      <name val="Tahom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name val="Calibri"/>
      <family val="0"/>
    </font>
    <font>
      <sz val="12"/>
      <color indexed="19"/>
      <name val="Calibri"/>
      <family val="0"/>
    </font>
    <font>
      <sz val="12"/>
      <color indexed="54"/>
      <name val="Calibri"/>
      <family val="0"/>
    </font>
    <font>
      <i/>
      <sz val="12"/>
      <color indexed="8"/>
      <name val="Calibri"/>
      <family val="0"/>
    </font>
    <font>
      <u val="single"/>
      <sz val="12"/>
      <color indexed="12"/>
      <name val="Calibri"/>
      <family val="2"/>
    </font>
    <font>
      <u val="single"/>
      <sz val="12"/>
      <color indexed="20"/>
      <name val="Calibri"/>
      <family val="2"/>
    </font>
    <font>
      <sz val="8"/>
      <name val="Verdana"/>
      <family val="0"/>
    </font>
    <font>
      <b/>
      <sz val="8"/>
      <name val="Calibri"/>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7" fillId="12" borderId="0" applyNumberFormat="0" applyBorder="0" applyAlignment="0" applyProtection="0"/>
    <xf numFmtId="0" fontId="8" fillId="2" borderId="1" applyNumberFormat="0" applyAlignment="0" applyProtection="0"/>
    <xf numFmtId="0" fontId="9"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5" borderId="0" applyNumberFormat="0" applyBorder="0" applyAlignment="0" applyProtection="0"/>
    <xf numFmtId="0" fontId="0" fillId="16"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31">
    <xf numFmtId="0" fontId="0" fillId="0" borderId="0" xfId="0" applyAlignment="1">
      <alignment/>
    </xf>
    <xf numFmtId="167" fontId="0" fillId="0" borderId="0" xfId="0" applyNumberFormat="1" applyAlignment="1">
      <alignment/>
    </xf>
    <xf numFmtId="3" fontId="0" fillId="0" borderId="0" xfId="0" applyNumberFormat="1" applyAlignment="1">
      <alignment/>
    </xf>
    <xf numFmtId="0" fontId="0" fillId="0" borderId="0" xfId="0" applyAlignment="1">
      <alignment horizontal="right"/>
    </xf>
    <xf numFmtId="167" fontId="0" fillId="0" borderId="0" xfId="0" applyNumberFormat="1" applyFill="1" applyAlignment="1">
      <alignment/>
    </xf>
    <xf numFmtId="0" fontId="0" fillId="0" borderId="0" xfId="0" applyFill="1" applyAlignment="1">
      <alignment/>
    </xf>
    <xf numFmtId="5" fontId="0" fillId="0" borderId="0" xfId="44" applyNumberFormat="1" applyFont="1" applyAlignment="1">
      <alignment/>
    </xf>
    <xf numFmtId="0" fontId="20" fillId="0" borderId="0" xfId="0" applyFont="1" applyAlignment="1">
      <alignment/>
    </xf>
    <xf numFmtId="0" fontId="20" fillId="0" borderId="0" xfId="0" applyFont="1" applyAlignment="1">
      <alignment horizontal="center"/>
    </xf>
    <xf numFmtId="0" fontId="0" fillId="0" borderId="10" xfId="0" applyBorder="1" applyAlignment="1">
      <alignment/>
    </xf>
    <xf numFmtId="0" fontId="0" fillId="0" borderId="10" xfId="0" applyBorder="1" applyAlignment="1">
      <alignment horizontal="right"/>
    </xf>
    <xf numFmtId="167" fontId="0" fillId="0" borderId="10" xfId="0" applyNumberFormat="1" applyBorder="1" applyAlignment="1">
      <alignment/>
    </xf>
    <xf numFmtId="5" fontId="0" fillId="0" borderId="0" xfId="44" applyNumberFormat="1" applyFont="1" applyFill="1" applyAlignment="1">
      <alignment/>
    </xf>
    <xf numFmtId="5" fontId="0" fillId="0" borderId="10" xfId="44" applyNumberFormat="1" applyFont="1" applyBorder="1" applyAlignment="1">
      <alignment/>
    </xf>
    <xf numFmtId="0" fontId="22" fillId="0" borderId="0" xfId="0" applyFont="1" applyAlignment="1">
      <alignment/>
    </xf>
    <xf numFmtId="0" fontId="23" fillId="0" borderId="0" xfId="0" applyFont="1" applyAlignment="1">
      <alignment/>
    </xf>
    <xf numFmtId="0" fontId="20" fillId="0" borderId="0" xfId="0" applyFont="1" applyAlignment="1">
      <alignment horizontal="center"/>
    </xf>
    <xf numFmtId="5" fontId="0" fillId="0" borderId="0" xfId="0" applyNumberFormat="1" applyAlignment="1">
      <alignment/>
    </xf>
    <xf numFmtId="0" fontId="0" fillId="0" borderId="0" xfId="0" applyAlignment="1">
      <alignment horizontal="left" wrapText="1"/>
    </xf>
    <xf numFmtId="0" fontId="24" fillId="0" borderId="0" xfId="0" applyFont="1" applyFill="1" applyAlignment="1">
      <alignment/>
    </xf>
    <xf numFmtId="0" fontId="0" fillId="0" borderId="0" xfId="0" applyAlignment="1">
      <alignment horizontal="left" wrapText="1"/>
    </xf>
    <xf numFmtId="0" fontId="11" fillId="14" borderId="0" xfId="48" applyAlignment="1" applyProtection="1">
      <alignment/>
      <protection locked="0"/>
    </xf>
    <xf numFmtId="0" fontId="0" fillId="0" borderId="0" xfId="0" applyAlignment="1" applyProtection="1">
      <alignment/>
      <protection locked="0"/>
    </xf>
    <xf numFmtId="3" fontId="0" fillId="6" borderId="11" xfId="0" applyNumberFormat="1" applyFill="1" applyBorder="1" applyAlignment="1" applyProtection="1">
      <alignment/>
      <protection locked="0"/>
    </xf>
    <xf numFmtId="3" fontId="0" fillId="6" borderId="0" xfId="0" applyNumberFormat="1" applyFill="1" applyBorder="1" applyAlignment="1" applyProtection="1">
      <alignment/>
      <protection locked="0"/>
    </xf>
    <xf numFmtId="3" fontId="0" fillId="0" borderId="0" xfId="0" applyNumberFormat="1" applyFill="1" applyBorder="1" applyAlignment="1" applyProtection="1">
      <alignment/>
      <protection locked="0"/>
    </xf>
    <xf numFmtId="3" fontId="0" fillId="0" borderId="12" xfId="0" applyNumberFormat="1" applyBorder="1" applyAlignment="1" applyProtection="1">
      <alignment/>
      <protection locked="0"/>
    </xf>
    <xf numFmtId="3" fontId="0" fillId="0" borderId="0" xfId="0" applyNumberFormat="1" applyBorder="1" applyAlignment="1" applyProtection="1">
      <alignment/>
      <protection locked="0"/>
    </xf>
    <xf numFmtId="3" fontId="0" fillId="6" borderId="12" xfId="0" applyNumberFormat="1" applyFill="1" applyBorder="1" applyAlignment="1" applyProtection="1">
      <alignment/>
      <protection locked="0"/>
    </xf>
    <xf numFmtId="3" fontId="0" fillId="6" borderId="13" xfId="0" applyNumberFormat="1" applyFill="1" applyBorder="1" applyAlignment="1" applyProtection="1">
      <alignment/>
      <protection locked="0"/>
    </xf>
    <xf numFmtId="3" fontId="0" fillId="0" borderId="11" xfId="0" applyNumberFormat="1" applyBorder="1" applyAlignment="1" applyProtection="1">
      <alignment/>
      <protection locked="0"/>
    </xf>
    <xf numFmtId="0" fontId="0" fillId="0" borderId="0" xfId="0" applyFill="1" applyAlignment="1" applyProtection="1">
      <alignment/>
      <protection locked="0"/>
    </xf>
    <xf numFmtId="3" fontId="0" fillId="0" borderId="12" xfId="0" applyNumberFormat="1" applyFill="1" applyBorder="1" applyAlignment="1" applyProtection="1">
      <alignment/>
      <protection locked="0"/>
    </xf>
    <xf numFmtId="3" fontId="0" fillId="0" borderId="11" xfId="0" applyNumberFormat="1" applyFill="1" applyBorder="1" applyAlignment="1" applyProtection="1">
      <alignment/>
      <protection locked="0"/>
    </xf>
    <xf numFmtId="0" fontId="0" fillId="0" borderId="0" xfId="0" applyAlignment="1" applyProtection="1">
      <alignment horizontal="right"/>
      <protection locked="0"/>
    </xf>
    <xf numFmtId="3" fontId="0" fillId="0" borderId="14" xfId="0" applyNumberFormat="1" applyBorder="1" applyAlignment="1" applyProtection="1">
      <alignment/>
      <protection locked="0"/>
    </xf>
    <xf numFmtId="3" fontId="0" fillId="0" borderId="15" xfId="0" applyNumberFormat="1" applyBorder="1" applyAlignment="1" applyProtection="1">
      <alignment/>
      <protection locked="0"/>
    </xf>
    <xf numFmtId="3" fontId="0" fillId="0" borderId="16" xfId="0" applyNumberFormat="1" applyBorder="1" applyAlignment="1" applyProtection="1">
      <alignment/>
      <protection locked="0"/>
    </xf>
    <xf numFmtId="3" fontId="0" fillId="0" borderId="0" xfId="0" applyNumberFormat="1" applyAlignment="1" applyProtection="1">
      <alignment/>
      <protection locked="0"/>
    </xf>
    <xf numFmtId="0" fontId="0" fillId="0" borderId="0" xfId="0" applyBorder="1" applyAlignment="1" applyProtection="1">
      <alignment/>
      <protection locked="0"/>
    </xf>
    <xf numFmtId="3" fontId="22" fillId="0" borderId="11" xfId="0" applyNumberFormat="1" applyFont="1" applyFill="1" applyBorder="1" applyAlignment="1" applyProtection="1">
      <alignment/>
      <protection locked="0"/>
    </xf>
    <xf numFmtId="3" fontId="22" fillId="6" borderId="11" xfId="0" applyNumberFormat="1" applyFont="1" applyFill="1" applyBorder="1" applyAlignment="1" applyProtection="1">
      <alignment/>
      <protection locked="0"/>
    </xf>
    <xf numFmtId="0" fontId="0" fillId="0" borderId="17" xfId="0"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Fill="1" applyBorder="1" applyAlignment="1" applyProtection="1">
      <alignment/>
      <protection locked="0"/>
    </xf>
    <xf numFmtId="167" fontId="0" fillId="13" borderId="0" xfId="0" applyNumberFormat="1" applyFill="1" applyAlignment="1">
      <alignment/>
    </xf>
    <xf numFmtId="5" fontId="0" fillId="13" borderId="0" xfId="44" applyNumberFormat="1" applyFont="1" applyFill="1" applyAlignment="1">
      <alignment/>
    </xf>
    <xf numFmtId="0" fontId="0" fillId="4" borderId="0" xfId="0" applyFill="1" applyAlignment="1">
      <alignment/>
    </xf>
    <xf numFmtId="0" fontId="0" fillId="3" borderId="0" xfId="0" applyFill="1" applyAlignment="1">
      <alignment/>
    </xf>
    <xf numFmtId="0" fontId="22" fillId="3" borderId="0" xfId="0" applyFont="1" applyFill="1" applyAlignment="1">
      <alignment/>
    </xf>
    <xf numFmtId="0" fontId="24" fillId="3" borderId="0" xfId="0" applyFont="1" applyFill="1" applyAlignment="1">
      <alignment/>
    </xf>
    <xf numFmtId="0" fontId="22" fillId="4" borderId="0" xfId="0" applyFont="1" applyFill="1" applyAlignment="1">
      <alignment/>
    </xf>
    <xf numFmtId="0" fontId="24" fillId="4" borderId="0" xfId="0" applyFont="1" applyFill="1" applyAlignment="1">
      <alignment/>
    </xf>
    <xf numFmtId="3" fontId="0" fillId="0" borderId="14" xfId="15" applyNumberFormat="1" applyFill="1" applyBorder="1" applyAlignment="1" applyProtection="1">
      <alignment/>
      <protection locked="0"/>
    </xf>
    <xf numFmtId="3" fontId="0" fillId="0" borderId="16" xfId="15" applyNumberFormat="1" applyFill="1" applyBorder="1" applyAlignment="1" applyProtection="1">
      <alignment/>
      <protection locked="0"/>
    </xf>
    <xf numFmtId="0" fontId="0" fillId="0" borderId="0" xfId="0" applyAlignment="1" applyProtection="1">
      <alignment/>
      <protection/>
    </xf>
    <xf numFmtId="0" fontId="0" fillId="0" borderId="17" xfId="0" applyFill="1" applyBorder="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horizontal="center"/>
      <protection/>
    </xf>
    <xf numFmtId="0" fontId="0" fillId="0" borderId="10" xfId="0" applyBorder="1" applyAlignment="1" applyProtection="1">
      <alignment horizontal="center"/>
      <protection/>
    </xf>
    <xf numFmtId="3" fontId="0" fillId="0" borderId="11" xfId="0" applyNumberFormat="1" applyFill="1" applyBorder="1" applyAlignment="1" applyProtection="1">
      <alignment/>
      <protection/>
    </xf>
    <xf numFmtId="3" fontId="22" fillId="0" borderId="12" xfId="0" applyNumberFormat="1" applyFont="1" applyFill="1" applyBorder="1" applyAlignment="1" applyProtection="1">
      <alignment/>
      <protection/>
    </xf>
    <xf numFmtId="3" fontId="0" fillId="0" borderId="12" xfId="0" applyNumberFormat="1" applyFill="1" applyBorder="1" applyAlignment="1" applyProtection="1">
      <alignment/>
      <protection/>
    </xf>
    <xf numFmtId="3" fontId="0" fillId="0" borderId="0" xfId="0" applyNumberFormat="1" applyBorder="1" applyAlignment="1" applyProtection="1">
      <alignment/>
      <protection/>
    </xf>
    <xf numFmtId="3" fontId="0" fillId="0" borderId="12" xfId="0" applyNumberFormat="1" applyBorder="1" applyAlignment="1" applyProtection="1">
      <alignment/>
      <protection/>
    </xf>
    <xf numFmtId="3" fontId="0" fillId="6" borderId="0" xfId="0" applyNumberFormat="1" applyFill="1" applyBorder="1" applyAlignment="1" applyProtection="1">
      <alignment/>
      <protection/>
    </xf>
    <xf numFmtId="3" fontId="0" fillId="6" borderId="13" xfId="0" applyNumberFormat="1" applyFill="1" applyBorder="1" applyAlignment="1" applyProtection="1">
      <alignment/>
      <protection/>
    </xf>
    <xf numFmtId="3" fontId="0" fillId="6" borderId="11" xfId="0" applyNumberFormat="1" applyFill="1" applyBorder="1" applyAlignment="1" applyProtection="1">
      <alignment/>
      <protection/>
    </xf>
    <xf numFmtId="3" fontId="0" fillId="6" borderId="12" xfId="0" applyNumberFormat="1" applyFill="1" applyBorder="1" applyAlignment="1" applyProtection="1">
      <alignment/>
      <protection/>
    </xf>
    <xf numFmtId="0" fontId="0" fillId="0" borderId="0" xfId="0" applyFill="1" applyAlignment="1" applyProtection="1">
      <alignment/>
      <protection/>
    </xf>
    <xf numFmtId="3" fontId="0" fillId="0" borderId="0" xfId="0" applyNumberFormat="1" applyFill="1" applyBorder="1" applyAlignment="1" applyProtection="1">
      <alignment/>
      <protection/>
    </xf>
    <xf numFmtId="3" fontId="0" fillId="0" borderId="11" xfId="0" applyNumberFormat="1" applyBorder="1" applyAlignment="1" applyProtection="1">
      <alignment/>
      <protection/>
    </xf>
    <xf numFmtId="3" fontId="0" fillId="9" borderId="12" xfId="0" applyNumberFormat="1" applyFill="1" applyBorder="1" applyAlignment="1" applyProtection="1">
      <alignment/>
      <protection/>
    </xf>
    <xf numFmtId="0" fontId="0" fillId="0" borderId="0" xfId="0" applyAlignment="1" applyProtection="1">
      <alignment horizontal="right"/>
      <protection/>
    </xf>
    <xf numFmtId="3" fontId="0" fillId="0" borderId="14" xfId="15" applyNumberFormat="1" applyFill="1" applyBorder="1" applyAlignment="1" applyProtection="1">
      <alignment/>
      <protection/>
    </xf>
    <xf numFmtId="3" fontId="0" fillId="0" borderId="16" xfId="15" applyNumberFormat="1" applyFill="1" applyBorder="1" applyAlignment="1" applyProtection="1">
      <alignment/>
      <protection/>
    </xf>
    <xf numFmtId="3" fontId="0" fillId="0" borderId="14" xfId="0" applyNumberFormat="1" applyBorder="1" applyAlignment="1" applyProtection="1">
      <alignment/>
      <protection/>
    </xf>
    <xf numFmtId="3" fontId="0" fillId="0" borderId="16" xfId="0" applyNumberFormat="1" applyBorder="1" applyAlignment="1" applyProtection="1">
      <alignment/>
      <protection/>
    </xf>
    <xf numFmtId="3" fontId="0" fillId="0" borderId="15" xfId="0" applyNumberFormat="1" applyBorder="1" applyAlignment="1" applyProtection="1">
      <alignment/>
      <protection/>
    </xf>
    <xf numFmtId="3" fontId="0" fillId="0" borderId="18" xfId="0" applyNumberFormat="1" applyBorder="1" applyAlignment="1" applyProtection="1">
      <alignment/>
      <protection/>
    </xf>
    <xf numFmtId="0" fontId="0" fillId="0" borderId="0" xfId="0" applyAlignment="1" applyProtection="1">
      <alignment horizontal="left" wrapText="1"/>
      <protection/>
    </xf>
    <xf numFmtId="0" fontId="0" fillId="0" borderId="17" xfId="0" applyBorder="1" applyAlignment="1" applyProtection="1">
      <alignment/>
      <protection/>
    </xf>
    <xf numFmtId="0" fontId="0" fillId="0" borderId="19" xfId="0" applyBorder="1" applyAlignment="1" applyProtection="1">
      <alignment/>
      <protection/>
    </xf>
    <xf numFmtId="3" fontId="22" fillId="0" borderId="0" xfId="0" applyNumberFormat="1" applyFont="1" applyFill="1" applyBorder="1" applyAlignment="1" applyProtection="1">
      <alignment/>
      <protection/>
    </xf>
    <xf numFmtId="3" fontId="0" fillId="0" borderId="14" xfId="0" applyNumberFormat="1" applyFill="1" applyBorder="1" applyAlignment="1" applyProtection="1">
      <alignment/>
      <protection/>
    </xf>
    <xf numFmtId="3" fontId="0" fillId="0" borderId="15" xfId="15" applyNumberFormat="1" applyFill="1" applyBorder="1" applyAlignment="1" applyProtection="1">
      <alignment/>
      <protection/>
    </xf>
    <xf numFmtId="0" fontId="0" fillId="4" borderId="0" xfId="0" applyFill="1" applyAlignment="1">
      <alignment horizontal="center"/>
    </xf>
    <xf numFmtId="0" fontId="0" fillId="3" borderId="0" xfId="0" applyFill="1" applyAlignment="1">
      <alignment horizontal="center"/>
    </xf>
    <xf numFmtId="0" fontId="0" fillId="17" borderId="0" xfId="0" applyFont="1" applyFill="1" applyAlignment="1">
      <alignment horizontal="center"/>
    </xf>
    <xf numFmtId="0" fontId="0" fillId="18" borderId="0" xfId="0" applyFont="1" applyFill="1" applyAlignment="1">
      <alignment horizontal="center"/>
    </xf>
    <xf numFmtId="0" fontId="0" fillId="19" borderId="0" xfId="0" applyFont="1" applyFill="1" applyAlignment="1">
      <alignment horizontal="center"/>
    </xf>
    <xf numFmtId="0" fontId="0" fillId="8" borderId="0" xfId="0" applyFill="1" applyAlignment="1">
      <alignment/>
    </xf>
    <xf numFmtId="0" fontId="0" fillId="7" borderId="0" xfId="0" applyFill="1" applyAlignment="1">
      <alignment/>
    </xf>
    <xf numFmtId="0" fontId="0" fillId="5" borderId="0" xfId="0" applyFill="1" applyAlignment="1">
      <alignment/>
    </xf>
    <xf numFmtId="167" fontId="0" fillId="13" borderId="0" xfId="44" applyNumberFormat="1" applyFont="1" applyFill="1" applyAlignment="1">
      <alignment/>
    </xf>
    <xf numFmtId="0" fontId="20" fillId="0" borderId="0" xfId="0" applyFont="1" applyFill="1" applyAlignment="1">
      <alignment horizontal="center"/>
    </xf>
    <xf numFmtId="0" fontId="20" fillId="0" borderId="0" xfId="0" applyFont="1" applyFill="1" applyAlignment="1">
      <alignment/>
    </xf>
    <xf numFmtId="0" fontId="24" fillId="0" borderId="0" xfId="0" applyFont="1" applyFill="1" applyAlignment="1" applyProtection="1">
      <alignment/>
      <protection locked="0"/>
    </xf>
    <xf numFmtId="3" fontId="25" fillId="0" borderId="11" xfId="0" applyNumberFormat="1" applyFont="1" applyFill="1" applyBorder="1" applyAlignment="1" applyProtection="1">
      <alignment/>
      <protection locked="0"/>
    </xf>
    <xf numFmtId="3" fontId="0" fillId="0" borderId="13" xfId="0" applyNumberFormat="1" applyFill="1" applyBorder="1" applyAlignment="1" applyProtection="1">
      <alignment/>
      <protection locked="0"/>
    </xf>
    <xf numFmtId="167" fontId="0" fillId="0" borderId="0" xfId="44" applyNumberFormat="1" applyFont="1" applyFill="1" applyAlignment="1">
      <alignment/>
    </xf>
    <xf numFmtId="3" fontId="22" fillId="0" borderId="12" xfId="0" applyNumberFormat="1" applyFont="1" applyFill="1" applyBorder="1" applyAlignment="1" applyProtection="1">
      <alignment/>
      <protection locked="0"/>
    </xf>
    <xf numFmtId="3" fontId="25" fillId="0" borderId="12" xfId="0" applyNumberFormat="1" applyFont="1" applyFill="1" applyBorder="1" applyAlignment="1" applyProtection="1">
      <alignment/>
      <protection locked="0"/>
    </xf>
    <xf numFmtId="3" fontId="25" fillId="0" borderId="0" xfId="0" applyNumberFormat="1" applyFont="1" applyFill="1" applyBorder="1" applyAlignment="1" applyProtection="1">
      <alignment/>
      <protection locked="0"/>
    </xf>
    <xf numFmtId="0" fontId="20" fillId="0" borderId="0" xfId="0" applyFont="1" applyFill="1" applyAlignment="1" applyProtection="1">
      <alignment/>
      <protection locked="0"/>
    </xf>
    <xf numFmtId="0" fontId="22" fillId="0" borderId="0" xfId="0" applyFont="1" applyFill="1" applyAlignment="1" applyProtection="1">
      <alignment/>
      <protection locked="0"/>
    </xf>
    <xf numFmtId="0" fontId="22" fillId="0" borderId="0" xfId="0" applyFont="1" applyFill="1" applyAlignment="1">
      <alignment/>
    </xf>
    <xf numFmtId="167" fontId="0" fillId="0" borderId="10" xfId="0" applyNumberFormat="1" applyFill="1" applyBorder="1" applyAlignment="1">
      <alignment/>
    </xf>
    <xf numFmtId="0" fontId="0" fillId="0" borderId="0" xfId="0" applyFont="1" applyAlignment="1">
      <alignment/>
    </xf>
    <xf numFmtId="0" fontId="25" fillId="0" borderId="0" xfId="0" applyFont="1" applyFill="1" applyAlignment="1">
      <alignment/>
    </xf>
    <xf numFmtId="167" fontId="25" fillId="0" borderId="0" xfId="0" applyNumberFormat="1" applyFont="1" applyFill="1" applyAlignment="1">
      <alignment/>
    </xf>
    <xf numFmtId="0" fontId="25" fillId="0" borderId="0" xfId="0" applyFont="1" applyAlignment="1">
      <alignment/>
    </xf>
    <xf numFmtId="167" fontId="25" fillId="0" borderId="0" xfId="0" applyNumberFormat="1" applyFont="1" applyAlignment="1">
      <alignment/>
    </xf>
    <xf numFmtId="0" fontId="0" fillId="0" borderId="0" xfId="0" applyFont="1" applyFill="1" applyAlignment="1">
      <alignment/>
    </xf>
    <xf numFmtId="5" fontId="0" fillId="0" borderId="0" xfId="44" applyNumberFormat="1" applyFont="1" applyFill="1" applyAlignment="1">
      <alignment/>
    </xf>
    <xf numFmtId="167" fontId="0" fillId="0" borderId="0" xfId="0" applyNumberFormat="1" applyFont="1" applyFill="1" applyAlignment="1">
      <alignment/>
    </xf>
    <xf numFmtId="3" fontId="0" fillId="0" borderId="11"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0" fontId="0" fillId="0" borderId="0" xfId="0" applyFont="1" applyBorder="1" applyAlignment="1">
      <alignment wrapText="1"/>
    </xf>
    <xf numFmtId="0" fontId="14" fillId="0" borderId="5" xfId="51" applyAlignment="1">
      <alignment/>
    </xf>
    <xf numFmtId="0" fontId="0" fillId="0" borderId="0" xfId="0" applyFont="1" applyFill="1" applyBorder="1" applyAlignment="1">
      <alignment wrapText="1"/>
    </xf>
    <xf numFmtId="0" fontId="20" fillId="0" borderId="0" xfId="0" applyFont="1" applyFill="1" applyBorder="1" applyAlignment="1">
      <alignment wrapText="1"/>
    </xf>
    <xf numFmtId="167" fontId="20" fillId="0" borderId="0" xfId="0" applyNumberFormat="1" applyFont="1" applyAlignment="1">
      <alignment/>
    </xf>
    <xf numFmtId="9" fontId="0" fillId="0" borderId="0" xfId="59" applyFont="1" applyAlignment="1">
      <alignment/>
    </xf>
    <xf numFmtId="9" fontId="0" fillId="0" borderId="0" xfId="59" applyNumberFormat="1" applyFont="1" applyAlignment="1">
      <alignment/>
    </xf>
    <xf numFmtId="9" fontId="20" fillId="0" borderId="0" xfId="59" applyFont="1" applyAlignment="1">
      <alignment/>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7" xfId="0" applyBorder="1" applyAlignment="1" applyProtection="1">
      <alignment horizontal="center"/>
      <protection/>
    </xf>
    <xf numFmtId="0" fontId="0" fillId="0" borderId="20" xfId="0"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pageSetUpPr fitToPage="1"/>
  </sheetPr>
  <dimension ref="A2:Y69"/>
  <sheetViews>
    <sheetView zoomScale="125" zoomScaleNormal="125" zoomScalePageLayoutView="0" workbookViewId="0" topLeftCell="A1">
      <selection activeCell="E20" sqref="E20"/>
    </sheetView>
  </sheetViews>
  <sheetFormatPr defaultColWidth="10.625" defaultRowHeight="15.75"/>
  <cols>
    <col min="1" max="1" width="21.875" style="0" customWidth="1"/>
    <col min="2" max="2" width="13.50390625" style="0" customWidth="1"/>
    <col min="3" max="3" width="13.375" style="0" customWidth="1"/>
    <col min="4" max="4" width="13.50390625" style="0" customWidth="1"/>
    <col min="5" max="5" width="13.375" style="0" customWidth="1"/>
    <col min="6" max="6" width="13.50390625" style="0" customWidth="1"/>
    <col min="7" max="7" width="13.375" style="0" customWidth="1"/>
    <col min="8" max="8" width="15.625" style="0" bestFit="1" customWidth="1"/>
    <col min="9" max="9" width="17.50390625" style="0" bestFit="1" customWidth="1"/>
    <col min="10" max="13" width="13.375" style="0" customWidth="1"/>
    <col min="14" max="14" width="10.375" style="0" bestFit="1" customWidth="1"/>
    <col min="15" max="15" width="13.375" style="0" bestFit="1" customWidth="1"/>
    <col min="16" max="16" width="13.375" style="0" customWidth="1"/>
    <col min="17" max="17" width="13.375" style="0" bestFit="1" customWidth="1"/>
    <col min="18" max="18" width="13.375" style="0" customWidth="1"/>
    <col min="19" max="19" width="13.375" style="0" bestFit="1" customWidth="1"/>
    <col min="20" max="20" width="10.375" style="0" bestFit="1" customWidth="1"/>
    <col min="21" max="21" width="10.375" style="0" customWidth="1"/>
    <col min="22" max="22" width="13.375" style="0" bestFit="1" customWidth="1"/>
    <col min="23" max="23" width="10.375" style="0" bestFit="1" customWidth="1"/>
    <col min="24" max="24" width="10.375" style="0" customWidth="1"/>
    <col min="25" max="25" width="13.375" style="0" bestFit="1" customWidth="1"/>
  </cols>
  <sheetData>
    <row r="2" spans="1:2" s="22" customFormat="1" ht="15.75">
      <c r="A2" s="21" t="s">
        <v>42</v>
      </c>
      <c r="B2" s="21"/>
    </row>
    <row r="3" s="22" customFormat="1" ht="15.75"/>
    <row r="4" spans="1:9" s="22" customFormat="1" ht="15.75">
      <c r="A4" s="22" t="s">
        <v>16</v>
      </c>
      <c r="B4" s="127" t="s">
        <v>14</v>
      </c>
      <c r="C4" s="128"/>
      <c r="D4" s="127" t="s">
        <v>13</v>
      </c>
      <c r="E4" s="128"/>
      <c r="F4" s="127" t="s">
        <v>15</v>
      </c>
      <c r="G4" s="128"/>
      <c r="H4" s="42" t="s">
        <v>143</v>
      </c>
      <c r="I4" s="45" t="s">
        <v>144</v>
      </c>
    </row>
    <row r="5" spans="2:11" s="22" customFormat="1" ht="15.75">
      <c r="B5" s="43" t="s">
        <v>95</v>
      </c>
      <c r="C5" s="44" t="s">
        <v>11</v>
      </c>
      <c r="D5" s="43" t="s">
        <v>95</v>
      </c>
      <c r="E5" s="44" t="s">
        <v>11</v>
      </c>
      <c r="F5" s="43" t="s">
        <v>95</v>
      </c>
      <c r="G5" s="44" t="s">
        <v>11</v>
      </c>
      <c r="H5" s="44" t="s">
        <v>11</v>
      </c>
      <c r="I5" s="44" t="s">
        <v>11</v>
      </c>
      <c r="K5" s="105"/>
    </row>
    <row r="6" spans="1:11" s="22" customFormat="1" ht="15.75">
      <c r="A6" s="22" t="s">
        <v>87</v>
      </c>
      <c r="B6" s="33">
        <v>1261555</v>
      </c>
      <c r="C6" s="32">
        <v>7770</v>
      </c>
      <c r="D6" s="25">
        <v>7011</v>
      </c>
      <c r="E6" s="25">
        <v>299</v>
      </c>
      <c r="F6" s="30">
        <v>5300000</v>
      </c>
      <c r="G6" s="102"/>
      <c r="H6" s="29"/>
      <c r="I6" s="29"/>
      <c r="K6" s="31"/>
    </row>
    <row r="7" spans="1:11" s="22" customFormat="1" ht="15.75">
      <c r="A7" s="22" t="s">
        <v>88</v>
      </c>
      <c r="B7" s="23"/>
      <c r="C7" s="28"/>
      <c r="D7" s="23"/>
      <c r="E7" s="28"/>
      <c r="F7" s="24"/>
      <c r="G7" s="28"/>
      <c r="H7" s="24"/>
      <c r="I7" s="29"/>
      <c r="K7" s="106"/>
    </row>
    <row r="8" spans="1:11" s="22" customFormat="1" ht="15.75">
      <c r="A8" s="22" t="s">
        <v>34</v>
      </c>
      <c r="B8" s="99">
        <v>1966892</v>
      </c>
      <c r="C8" s="103"/>
      <c r="D8" s="104">
        <v>2478</v>
      </c>
      <c r="E8" s="32"/>
      <c r="F8" s="24"/>
      <c r="G8" s="28"/>
      <c r="H8" s="24"/>
      <c r="I8" s="29"/>
      <c r="K8" s="98"/>
    </row>
    <row r="9" spans="1:11" s="31" customFormat="1" ht="15.75">
      <c r="A9" s="31" t="s">
        <v>133</v>
      </c>
      <c r="B9" s="23"/>
      <c r="C9" s="28"/>
      <c r="D9" s="24"/>
      <c r="E9" s="24"/>
      <c r="F9" s="40">
        <v>0</v>
      </c>
      <c r="G9" s="32">
        <v>0</v>
      </c>
      <c r="H9" s="29"/>
      <c r="I9" s="29"/>
      <c r="K9" s="106"/>
    </row>
    <row r="10" spans="1:11" s="31" customFormat="1" ht="15.75">
      <c r="A10" s="98" t="s">
        <v>25</v>
      </c>
      <c r="B10" s="99">
        <v>1049000</v>
      </c>
      <c r="C10" s="32"/>
      <c r="D10" s="104">
        <v>10524</v>
      </c>
      <c r="E10" s="25"/>
      <c r="F10" s="41"/>
      <c r="G10" s="28"/>
      <c r="H10" s="29"/>
      <c r="I10" s="29"/>
      <c r="K10" s="98"/>
    </row>
    <row r="11" spans="1:11" s="31" customFormat="1" ht="15.75">
      <c r="A11" s="31" t="s">
        <v>17</v>
      </c>
      <c r="B11" s="33">
        <v>10000000</v>
      </c>
      <c r="C11" s="32"/>
      <c r="D11" s="25">
        <v>19000</v>
      </c>
      <c r="E11" s="25"/>
      <c r="F11" s="41"/>
      <c r="G11" s="28"/>
      <c r="H11" s="29"/>
      <c r="I11" s="29"/>
      <c r="K11" s="106"/>
    </row>
    <row r="12" spans="1:11" s="31" customFormat="1" ht="15.75">
      <c r="A12" s="31" t="s">
        <v>18</v>
      </c>
      <c r="B12" s="99">
        <v>3600000</v>
      </c>
      <c r="C12" s="32"/>
      <c r="D12" s="104"/>
      <c r="E12" s="25"/>
      <c r="F12" s="41"/>
      <c r="G12" s="28"/>
      <c r="H12" s="29"/>
      <c r="I12" s="29"/>
      <c r="K12" s="98"/>
    </row>
    <row r="13" spans="1:11" s="22" customFormat="1" ht="15.75">
      <c r="A13" s="22" t="s">
        <v>139</v>
      </c>
      <c r="B13" s="33">
        <v>17000000</v>
      </c>
      <c r="C13" s="26">
        <v>17470519</v>
      </c>
      <c r="D13" s="25">
        <v>70000</v>
      </c>
      <c r="E13" s="27">
        <v>65754</v>
      </c>
      <c r="F13" s="23"/>
      <c r="G13" s="28"/>
      <c r="H13" s="29"/>
      <c r="I13" s="29"/>
      <c r="K13" s="106"/>
    </row>
    <row r="14" spans="1:11" s="22" customFormat="1" ht="15.75">
      <c r="A14" s="22" t="s">
        <v>90</v>
      </c>
      <c r="B14" s="33">
        <v>200000</v>
      </c>
      <c r="C14" s="32">
        <v>475508</v>
      </c>
      <c r="D14" s="25">
        <v>950</v>
      </c>
      <c r="E14" s="27">
        <v>1098</v>
      </c>
      <c r="F14" s="23"/>
      <c r="G14" s="28"/>
      <c r="H14" s="29"/>
      <c r="I14" s="29"/>
      <c r="K14" s="31"/>
    </row>
    <row r="15" spans="1:11" s="22" customFormat="1" ht="15.75">
      <c r="A15" s="22" t="s">
        <v>93</v>
      </c>
      <c r="B15" s="33">
        <v>261000</v>
      </c>
      <c r="C15" s="32"/>
      <c r="D15" s="25">
        <v>1028</v>
      </c>
      <c r="E15" s="25"/>
      <c r="F15" s="23"/>
      <c r="G15" s="28"/>
      <c r="H15" s="29"/>
      <c r="I15" s="29"/>
      <c r="K15" s="31"/>
    </row>
    <row r="16" spans="1:11" s="22" customFormat="1" ht="15.75">
      <c r="A16" s="31" t="s">
        <v>81</v>
      </c>
      <c r="B16" s="23"/>
      <c r="C16" s="28"/>
      <c r="D16" s="25">
        <v>157</v>
      </c>
      <c r="E16" s="25">
        <v>75</v>
      </c>
      <c r="F16" s="23"/>
      <c r="G16" s="28"/>
      <c r="H16" s="29"/>
      <c r="I16" s="100">
        <v>164</v>
      </c>
      <c r="K16" s="106"/>
    </row>
    <row r="17" spans="1:11" s="22" customFormat="1" ht="15.75">
      <c r="A17" s="31" t="s">
        <v>40</v>
      </c>
      <c r="B17" s="23"/>
      <c r="C17" s="28"/>
      <c r="D17" s="25" t="s">
        <v>94</v>
      </c>
      <c r="E17" s="25"/>
      <c r="F17" s="23"/>
      <c r="G17" s="28"/>
      <c r="H17" s="29"/>
      <c r="I17" s="29"/>
      <c r="K17" s="106"/>
    </row>
    <row r="18" spans="1:11" s="22" customFormat="1" ht="15.75">
      <c r="A18" s="22" t="s">
        <v>91</v>
      </c>
      <c r="B18" s="33">
        <v>397569</v>
      </c>
      <c r="C18" s="32"/>
      <c r="D18" s="25">
        <v>2314</v>
      </c>
      <c r="E18" s="25"/>
      <c r="F18" s="23"/>
      <c r="G18" s="28"/>
      <c r="H18" s="29"/>
      <c r="I18" s="29"/>
      <c r="K18" s="98"/>
    </row>
    <row r="19" spans="1:11" s="22" customFormat="1" ht="15.75">
      <c r="A19" s="22" t="s">
        <v>89</v>
      </c>
      <c r="B19" s="33">
        <v>5235647</v>
      </c>
      <c r="C19" s="32">
        <v>1280251</v>
      </c>
      <c r="D19" s="25">
        <v>2265</v>
      </c>
      <c r="E19" s="25">
        <v>108</v>
      </c>
      <c r="F19" s="33">
        <v>11460000</v>
      </c>
      <c r="G19" s="32">
        <v>11460000</v>
      </c>
      <c r="H19" s="29"/>
      <c r="I19" s="29"/>
      <c r="K19" s="31"/>
    </row>
    <row r="20" spans="1:11" s="22" customFormat="1" ht="15.75">
      <c r="A20" s="22" t="s">
        <v>145</v>
      </c>
      <c r="B20" s="117">
        <v>4200000</v>
      </c>
      <c r="C20" s="32"/>
      <c r="D20" s="118" t="s">
        <v>94</v>
      </c>
      <c r="E20" s="25">
        <v>125</v>
      </c>
      <c r="F20" s="23"/>
      <c r="G20" s="28"/>
      <c r="H20" s="29"/>
      <c r="I20" s="29"/>
      <c r="K20" s="31"/>
    </row>
    <row r="21" spans="1:11" s="22" customFormat="1" ht="15.75">
      <c r="A21" s="22" t="s">
        <v>108</v>
      </c>
      <c r="B21" s="33">
        <v>229500</v>
      </c>
      <c r="C21" s="102"/>
      <c r="D21" s="25">
        <v>230</v>
      </c>
      <c r="E21" s="25"/>
      <c r="F21" s="23"/>
      <c r="G21" s="28"/>
      <c r="H21" s="29"/>
      <c r="I21" s="29"/>
      <c r="K21" s="106"/>
    </row>
    <row r="22" spans="1:11" s="22" customFormat="1" ht="15.75">
      <c r="A22" s="22" t="s">
        <v>85</v>
      </c>
      <c r="B22" s="33">
        <v>2300000</v>
      </c>
      <c r="C22" s="32"/>
      <c r="D22" s="24"/>
      <c r="E22" s="24"/>
      <c r="F22" s="23"/>
      <c r="G22" s="28"/>
      <c r="H22" s="29"/>
      <c r="I22" s="29"/>
      <c r="K22" s="31"/>
    </row>
    <row r="23" spans="1:11" s="22" customFormat="1" ht="15.75">
      <c r="A23" s="34" t="s">
        <v>96</v>
      </c>
      <c r="B23" s="54">
        <f aca="true" t="shared" si="0" ref="B23:I23">SUM(B6:B22)</f>
        <v>47701163</v>
      </c>
      <c r="C23" s="55">
        <f t="shared" si="0"/>
        <v>19234048</v>
      </c>
      <c r="D23" s="35">
        <f t="shared" si="0"/>
        <v>115957</v>
      </c>
      <c r="E23" s="36">
        <f t="shared" si="0"/>
        <v>67459</v>
      </c>
      <c r="F23" s="35">
        <f t="shared" si="0"/>
        <v>16760000</v>
      </c>
      <c r="G23" s="37">
        <f t="shared" si="0"/>
        <v>11460000</v>
      </c>
      <c r="H23" s="35">
        <f t="shared" si="0"/>
        <v>0</v>
      </c>
      <c r="I23" s="35">
        <f t="shared" si="0"/>
        <v>164</v>
      </c>
      <c r="K23" s="31"/>
    </row>
    <row r="24" spans="5:9" s="22" customFormat="1" ht="15.75">
      <c r="E24" s="38"/>
      <c r="H24" s="39"/>
      <c r="I24" s="39"/>
    </row>
    <row r="25" spans="5:9" s="22" customFormat="1" ht="15.75">
      <c r="E25" s="38"/>
      <c r="H25" s="39"/>
      <c r="I25" s="39"/>
    </row>
    <row r="26" spans="1:9" ht="15.75">
      <c r="A26" s="56" t="s">
        <v>12</v>
      </c>
      <c r="B26" s="129" t="s">
        <v>14</v>
      </c>
      <c r="C26" s="130"/>
      <c r="D26" s="129" t="s">
        <v>13</v>
      </c>
      <c r="E26" s="130"/>
      <c r="F26" s="129" t="s">
        <v>15</v>
      </c>
      <c r="G26" s="130"/>
      <c r="H26" s="57" t="s">
        <v>143</v>
      </c>
      <c r="I26" s="58" t="s">
        <v>144</v>
      </c>
    </row>
    <row r="27" spans="1:9" ht="15.75">
      <c r="A27" s="56"/>
      <c r="B27" s="59" t="s">
        <v>95</v>
      </c>
      <c r="C27" s="60" t="s">
        <v>11</v>
      </c>
      <c r="D27" s="59" t="s">
        <v>95</v>
      </c>
      <c r="E27" s="60" t="s">
        <v>11</v>
      </c>
      <c r="F27" s="59" t="s">
        <v>95</v>
      </c>
      <c r="G27" s="60" t="s">
        <v>11</v>
      </c>
      <c r="H27" s="60" t="s">
        <v>11</v>
      </c>
      <c r="I27" s="60" t="s">
        <v>11</v>
      </c>
    </row>
    <row r="28" spans="1:9" ht="15.75">
      <c r="A28" s="56" t="s">
        <v>87</v>
      </c>
      <c r="B28" s="61">
        <v>765621</v>
      </c>
      <c r="C28" s="62">
        <v>567291</v>
      </c>
      <c r="D28" s="61">
        <v>3177</v>
      </c>
      <c r="E28" s="63">
        <v>3536</v>
      </c>
      <c r="F28" s="64">
        <v>5494083</v>
      </c>
      <c r="G28" s="65">
        <v>0</v>
      </c>
      <c r="H28" s="66"/>
      <c r="I28" s="67"/>
    </row>
    <row r="29" spans="1:9" ht="15.75">
      <c r="A29" s="56" t="s">
        <v>88</v>
      </c>
      <c r="B29" s="61">
        <v>146970</v>
      </c>
      <c r="C29" s="65">
        <v>0</v>
      </c>
      <c r="D29" s="68"/>
      <c r="E29" s="69"/>
      <c r="F29" s="64">
        <v>0</v>
      </c>
      <c r="G29" s="65">
        <v>0</v>
      </c>
      <c r="H29" s="66"/>
      <c r="I29" s="67"/>
    </row>
    <row r="30" spans="1:11" s="5" customFormat="1" ht="15.75">
      <c r="A30" s="70" t="s">
        <v>86</v>
      </c>
      <c r="B30" s="61">
        <v>0</v>
      </c>
      <c r="C30" s="63">
        <v>0</v>
      </c>
      <c r="D30" s="61">
        <v>0</v>
      </c>
      <c r="E30" s="63">
        <v>0</v>
      </c>
      <c r="F30" s="71">
        <v>0</v>
      </c>
      <c r="G30" s="63">
        <v>0</v>
      </c>
      <c r="H30" s="66"/>
      <c r="I30" s="67"/>
      <c r="K30"/>
    </row>
    <row r="31" spans="1:11" s="5" customFormat="1" ht="15.75">
      <c r="A31" s="70" t="s">
        <v>133</v>
      </c>
      <c r="B31" s="68"/>
      <c r="C31" s="69"/>
      <c r="D31" s="61">
        <v>165</v>
      </c>
      <c r="E31" s="63">
        <v>165</v>
      </c>
      <c r="F31" s="71">
        <v>64500000</v>
      </c>
      <c r="G31" s="63">
        <v>64500000</v>
      </c>
      <c r="H31" s="66"/>
      <c r="I31" s="67"/>
      <c r="K31"/>
    </row>
    <row r="32" spans="1:11" s="5" customFormat="1" ht="15.75">
      <c r="A32" s="70" t="s">
        <v>134</v>
      </c>
      <c r="B32" s="68"/>
      <c r="C32" s="69"/>
      <c r="D32" s="61">
        <v>170</v>
      </c>
      <c r="E32" s="63">
        <v>170</v>
      </c>
      <c r="F32" s="71">
        <v>79000000</v>
      </c>
      <c r="G32" s="63">
        <v>79000000</v>
      </c>
      <c r="H32" s="66"/>
      <c r="I32" s="67"/>
      <c r="K32"/>
    </row>
    <row r="33" spans="1:9" ht="15.75">
      <c r="A33" s="56" t="s">
        <v>139</v>
      </c>
      <c r="B33" s="61">
        <v>0</v>
      </c>
      <c r="C33" s="65">
        <v>0</v>
      </c>
      <c r="D33" s="61">
        <v>0</v>
      </c>
      <c r="E33" s="65">
        <v>0</v>
      </c>
      <c r="F33" s="66"/>
      <c r="G33" s="69"/>
      <c r="H33" s="66"/>
      <c r="I33" s="67"/>
    </row>
    <row r="34" spans="1:9" ht="15.75">
      <c r="A34" s="56" t="s">
        <v>90</v>
      </c>
      <c r="B34" s="61">
        <v>90000</v>
      </c>
      <c r="C34" s="63">
        <v>123150</v>
      </c>
      <c r="D34" s="61">
        <v>385</v>
      </c>
      <c r="E34" s="65">
        <v>350</v>
      </c>
      <c r="F34" s="64">
        <v>7900000</v>
      </c>
      <c r="G34" s="63">
        <v>7900000</v>
      </c>
      <c r="H34" s="66"/>
      <c r="I34" s="67"/>
    </row>
    <row r="35" spans="1:9" ht="15.75">
      <c r="A35" s="56" t="s">
        <v>93</v>
      </c>
      <c r="B35" s="68"/>
      <c r="C35" s="69"/>
      <c r="D35" s="68"/>
      <c r="E35" s="69"/>
      <c r="F35" s="66"/>
      <c r="G35" s="69"/>
      <c r="H35" s="66"/>
      <c r="I35" s="67"/>
    </row>
    <row r="36" spans="1:9" ht="15.75">
      <c r="A36" s="70" t="s">
        <v>81</v>
      </c>
      <c r="B36" s="61">
        <v>7542381</v>
      </c>
      <c r="C36" s="63">
        <v>12051165</v>
      </c>
      <c r="D36" s="61">
        <v>21846</v>
      </c>
      <c r="E36" s="63">
        <v>27018</v>
      </c>
      <c r="F36" s="66"/>
      <c r="G36" s="69"/>
      <c r="H36" s="66"/>
      <c r="I36" s="67"/>
    </row>
    <row r="37" spans="1:9" ht="15.75">
      <c r="A37" s="56" t="s">
        <v>91</v>
      </c>
      <c r="B37" s="61">
        <v>113100</v>
      </c>
      <c r="C37" s="63">
        <v>12381</v>
      </c>
      <c r="D37" s="61">
        <v>26</v>
      </c>
      <c r="E37" s="63">
        <v>26</v>
      </c>
      <c r="F37" s="64">
        <v>844500</v>
      </c>
      <c r="G37" s="65">
        <v>844500</v>
      </c>
      <c r="H37" s="66"/>
      <c r="I37" s="67"/>
    </row>
    <row r="38" spans="1:9" ht="15.75">
      <c r="A38" s="56" t="s">
        <v>82</v>
      </c>
      <c r="B38" s="61">
        <v>46090</v>
      </c>
      <c r="C38" s="65">
        <v>29453</v>
      </c>
      <c r="D38" s="72">
        <v>102</v>
      </c>
      <c r="E38" s="65">
        <v>102</v>
      </c>
      <c r="F38" s="66"/>
      <c r="G38" s="69"/>
      <c r="H38" s="66"/>
      <c r="I38" s="67"/>
    </row>
    <row r="39" spans="1:9" ht="15.75">
      <c r="A39" s="56" t="s">
        <v>83</v>
      </c>
      <c r="B39" s="61">
        <v>7000000</v>
      </c>
      <c r="C39" s="63">
        <v>12820871</v>
      </c>
      <c r="D39" s="72">
        <v>38610</v>
      </c>
      <c r="E39" s="63">
        <v>33895</v>
      </c>
      <c r="F39" s="66"/>
      <c r="G39" s="69"/>
      <c r="H39" s="66"/>
      <c r="I39" s="67"/>
    </row>
    <row r="40" spans="1:9" ht="15.75">
      <c r="A40" s="56" t="s">
        <v>89</v>
      </c>
      <c r="B40" s="61">
        <v>5235647.25</v>
      </c>
      <c r="C40" s="63">
        <v>4124088</v>
      </c>
      <c r="D40" s="61">
        <v>2265</v>
      </c>
      <c r="E40" s="63">
        <v>2264</v>
      </c>
      <c r="F40" s="66"/>
      <c r="G40" s="69"/>
      <c r="H40" s="66"/>
      <c r="I40" s="67"/>
    </row>
    <row r="41" spans="1:9" ht="15.75">
      <c r="A41" s="56" t="s">
        <v>84</v>
      </c>
      <c r="B41" s="61">
        <v>9660213</v>
      </c>
      <c r="C41" s="65">
        <v>9588024</v>
      </c>
      <c r="D41" s="61">
        <v>30878</v>
      </c>
      <c r="E41" s="65">
        <v>30878</v>
      </c>
      <c r="F41" s="64">
        <v>13000000</v>
      </c>
      <c r="G41" s="65">
        <v>13000000</v>
      </c>
      <c r="H41" s="66"/>
      <c r="I41" s="67"/>
    </row>
    <row r="42" spans="1:9" ht="15.75">
      <c r="A42" s="56" t="s">
        <v>108</v>
      </c>
      <c r="B42" s="61">
        <v>229500</v>
      </c>
      <c r="C42" s="63">
        <v>315204</v>
      </c>
      <c r="D42" s="61">
        <v>230</v>
      </c>
      <c r="E42" s="62">
        <v>947</v>
      </c>
      <c r="F42" s="66"/>
      <c r="G42" s="69"/>
      <c r="H42" s="71">
        <v>547</v>
      </c>
      <c r="I42" s="67"/>
    </row>
    <row r="43" spans="1:9" ht="15.75">
      <c r="A43" s="56" t="s">
        <v>85</v>
      </c>
      <c r="B43" s="61">
        <v>750000</v>
      </c>
      <c r="C43" s="73">
        <v>0</v>
      </c>
      <c r="D43" s="61">
        <v>0</v>
      </c>
      <c r="E43" s="63">
        <v>0</v>
      </c>
      <c r="F43" s="66"/>
      <c r="G43" s="69"/>
      <c r="H43" s="66"/>
      <c r="I43" s="67"/>
    </row>
    <row r="44" spans="1:9" ht="15.75">
      <c r="A44" s="74" t="s">
        <v>96</v>
      </c>
      <c r="B44" s="75">
        <f aca="true" t="shared" si="1" ref="B44:I44">SUM(B28:B43)</f>
        <v>31579522.25</v>
      </c>
      <c r="C44" s="76">
        <f t="shared" si="1"/>
        <v>39631627</v>
      </c>
      <c r="D44" s="77">
        <f t="shared" si="1"/>
        <v>97854</v>
      </c>
      <c r="E44" s="78">
        <f t="shared" si="1"/>
        <v>99351</v>
      </c>
      <c r="F44" s="79">
        <f t="shared" si="1"/>
        <v>170738583</v>
      </c>
      <c r="G44" s="78">
        <f t="shared" si="1"/>
        <v>165244500</v>
      </c>
      <c r="H44" s="79">
        <f t="shared" si="1"/>
        <v>547</v>
      </c>
      <c r="I44" s="80">
        <f t="shared" si="1"/>
        <v>0</v>
      </c>
    </row>
    <row r="45" spans="1:25" ht="15.75">
      <c r="A45" s="81"/>
      <c r="B45" s="81"/>
      <c r="C45" s="81"/>
      <c r="D45" s="81"/>
      <c r="E45" s="81"/>
      <c r="F45" s="81"/>
      <c r="G45" s="81"/>
      <c r="H45" s="81"/>
      <c r="I45" s="81"/>
      <c r="J45" s="20"/>
      <c r="K45" s="20"/>
      <c r="L45" s="20"/>
      <c r="M45" s="20"/>
      <c r="N45" s="20"/>
      <c r="O45" s="20"/>
      <c r="P45" s="20"/>
      <c r="Q45" s="20"/>
      <c r="R45" s="20"/>
      <c r="S45" s="20"/>
      <c r="T45" s="20"/>
      <c r="U45" s="20"/>
      <c r="V45" s="20"/>
      <c r="W45" s="18"/>
      <c r="X45" s="18"/>
      <c r="Y45" s="18"/>
    </row>
    <row r="46" spans="1:9" ht="15.75">
      <c r="A46" s="56"/>
      <c r="B46" s="56"/>
      <c r="C46" s="56"/>
      <c r="D46" s="56"/>
      <c r="E46" s="70"/>
      <c r="F46" s="56"/>
      <c r="G46" s="56"/>
      <c r="H46" s="56"/>
      <c r="I46" s="56"/>
    </row>
    <row r="47" spans="1:9" ht="15.75">
      <c r="A47" s="56" t="s">
        <v>10</v>
      </c>
      <c r="B47" s="129" t="s">
        <v>68</v>
      </c>
      <c r="C47" s="130"/>
      <c r="D47" s="129" t="s">
        <v>69</v>
      </c>
      <c r="E47" s="130"/>
      <c r="F47" s="82" t="s">
        <v>101</v>
      </c>
      <c r="G47" s="83"/>
      <c r="H47" s="57" t="s">
        <v>143</v>
      </c>
      <c r="I47" s="58" t="s">
        <v>144</v>
      </c>
    </row>
    <row r="48" spans="1:9" ht="15.75">
      <c r="A48" s="56"/>
      <c r="B48" s="60" t="s">
        <v>95</v>
      </c>
      <c r="C48" s="60" t="s">
        <v>11</v>
      </c>
      <c r="D48" s="60" t="s">
        <v>95</v>
      </c>
      <c r="E48" s="60" t="s">
        <v>11</v>
      </c>
      <c r="F48" s="60" t="s">
        <v>95</v>
      </c>
      <c r="G48" s="60" t="s">
        <v>11</v>
      </c>
      <c r="H48" s="59" t="s">
        <v>11</v>
      </c>
      <c r="I48" s="59" t="s">
        <v>11</v>
      </c>
    </row>
    <row r="49" spans="1:9" ht="15.75">
      <c r="A49" s="56" t="s">
        <v>88</v>
      </c>
      <c r="B49" s="72">
        <v>146970</v>
      </c>
      <c r="C49" s="64">
        <v>161884</v>
      </c>
      <c r="D49" s="72">
        <v>466</v>
      </c>
      <c r="E49" s="64">
        <v>466</v>
      </c>
      <c r="F49" s="68"/>
      <c r="G49" s="66"/>
      <c r="H49" s="72">
        <v>4</v>
      </c>
      <c r="I49" s="67"/>
    </row>
    <row r="50" spans="1:9" ht="15.75">
      <c r="A50" s="56" t="s">
        <v>90</v>
      </c>
      <c r="B50" s="68"/>
      <c r="C50" s="66"/>
      <c r="D50" s="68"/>
      <c r="E50" s="66"/>
      <c r="F50" s="68"/>
      <c r="G50" s="66"/>
      <c r="H50" s="68"/>
      <c r="I50" s="67"/>
    </row>
    <row r="51" spans="1:9" ht="15.75">
      <c r="A51" s="70" t="s">
        <v>80</v>
      </c>
      <c r="B51" s="61">
        <v>10782824</v>
      </c>
      <c r="C51" s="71">
        <v>9921453</v>
      </c>
      <c r="D51" s="61">
        <v>22224</v>
      </c>
      <c r="E51" s="64">
        <v>19635</v>
      </c>
      <c r="F51" s="68"/>
      <c r="G51" s="66"/>
      <c r="H51" s="68"/>
      <c r="I51" s="67"/>
    </row>
    <row r="52" spans="1:11" s="5" customFormat="1" ht="15.75">
      <c r="A52" s="56" t="s">
        <v>91</v>
      </c>
      <c r="B52" s="61">
        <f>5940*0.83</f>
        <v>4930.2</v>
      </c>
      <c r="C52" s="71">
        <v>5918</v>
      </c>
      <c r="D52" s="68"/>
      <c r="E52" s="66"/>
      <c r="F52" s="72">
        <v>312600</v>
      </c>
      <c r="G52" s="64">
        <v>312600</v>
      </c>
      <c r="H52" s="68"/>
      <c r="I52" s="67"/>
      <c r="J52"/>
      <c r="K52"/>
    </row>
    <row r="53" spans="1:9" ht="15.75">
      <c r="A53" s="56" t="s">
        <v>89</v>
      </c>
      <c r="B53" s="68"/>
      <c r="C53" s="69"/>
      <c r="D53" s="68"/>
      <c r="E53" s="69"/>
      <c r="F53" s="66"/>
      <c r="G53" s="69"/>
      <c r="H53" s="66"/>
      <c r="I53" s="67"/>
    </row>
    <row r="54" spans="1:11" s="5" customFormat="1" ht="15.75">
      <c r="A54" s="56" t="s">
        <v>108</v>
      </c>
      <c r="B54" s="61">
        <f>270000*0.85</f>
        <v>229500</v>
      </c>
      <c r="C54" s="84">
        <v>254717</v>
      </c>
      <c r="D54" s="61">
        <v>230</v>
      </c>
      <c r="E54" s="71">
        <v>2208</v>
      </c>
      <c r="F54" s="68"/>
      <c r="G54" s="66"/>
      <c r="H54" s="61">
        <v>763</v>
      </c>
      <c r="I54" s="67"/>
      <c r="J54"/>
      <c r="K54"/>
    </row>
    <row r="55" spans="1:11" s="5" customFormat="1" ht="15.75">
      <c r="A55" s="56" t="s">
        <v>85</v>
      </c>
      <c r="B55" s="72">
        <v>750000</v>
      </c>
      <c r="C55" s="71">
        <v>1835016</v>
      </c>
      <c r="D55" s="68"/>
      <c r="E55" s="66"/>
      <c r="F55" s="68"/>
      <c r="G55" s="66"/>
      <c r="H55" s="68"/>
      <c r="I55" s="67"/>
      <c r="J55"/>
      <c r="K55"/>
    </row>
    <row r="56" spans="1:9" ht="15.75">
      <c r="A56" s="74" t="s">
        <v>96</v>
      </c>
      <c r="B56" s="85">
        <f aca="true" t="shared" si="2" ref="B56:I56">SUM(B49:B55)</f>
        <v>11914224.2</v>
      </c>
      <c r="C56" s="86">
        <f t="shared" si="2"/>
        <v>12178988</v>
      </c>
      <c r="D56" s="77">
        <f t="shared" si="2"/>
        <v>22920</v>
      </c>
      <c r="E56" s="78">
        <f t="shared" si="2"/>
        <v>22309</v>
      </c>
      <c r="F56" s="77">
        <f t="shared" si="2"/>
        <v>312600</v>
      </c>
      <c r="G56" s="79">
        <f t="shared" si="2"/>
        <v>312600</v>
      </c>
      <c r="H56" s="77">
        <f t="shared" si="2"/>
        <v>767</v>
      </c>
      <c r="I56" s="80">
        <f t="shared" si="2"/>
        <v>0</v>
      </c>
    </row>
    <row r="68" spans="2:6" ht="15">
      <c r="B68" s="2"/>
      <c r="C68" s="2"/>
      <c r="D68" s="2"/>
      <c r="F68" s="2"/>
    </row>
    <row r="69" spans="2:6" ht="15">
      <c r="B69" s="2"/>
      <c r="C69" s="2"/>
      <c r="D69" s="2"/>
      <c r="F69" s="2"/>
    </row>
  </sheetData>
  <sheetProtection sheet="1" objects="1" scenarios="1" formatCells="0" formatColumns="0" formatRows="0" insertColumns="0" insertRows="0" insertHyperlinks="0" pivotTables="0"/>
  <mergeCells count="8">
    <mergeCell ref="B4:C4"/>
    <mergeCell ref="D4:E4"/>
    <mergeCell ref="F4:G4"/>
    <mergeCell ref="B47:C47"/>
    <mergeCell ref="D47:E47"/>
    <mergeCell ref="B26:C26"/>
    <mergeCell ref="D26:E26"/>
    <mergeCell ref="F26:G26"/>
  </mergeCells>
  <printOptions/>
  <pageMargins left="0.7500000000000001" right="0.7500000000000001" top="1" bottom="1" header="0.5" footer="0.5"/>
  <pageSetup fitToHeight="1" fitToWidth="1" orientation="landscape" paperSize="3" scale="81"/>
  <legacyDrawing r:id="rId2"/>
</worksheet>
</file>

<file path=xl/worksheets/sheet2.xml><?xml version="1.0" encoding="utf-8"?>
<worksheet xmlns="http://schemas.openxmlformats.org/spreadsheetml/2006/main" xmlns:r="http://schemas.openxmlformats.org/officeDocument/2006/relationships">
  <sheetPr codeName="Sheet2"/>
  <dimension ref="A5:M44"/>
  <sheetViews>
    <sheetView zoomScale="125" zoomScaleNormal="125" zoomScalePageLayoutView="0" workbookViewId="0" topLeftCell="A25">
      <selection activeCell="F9" sqref="F9"/>
    </sheetView>
  </sheetViews>
  <sheetFormatPr defaultColWidth="10.625" defaultRowHeight="15.75"/>
  <cols>
    <col min="1" max="1" width="36.375" style="0" bestFit="1" customWidth="1"/>
    <col min="2" max="2" width="23.50390625" style="0" bestFit="1" customWidth="1"/>
    <col min="3" max="5" width="23.50390625" style="0" customWidth="1"/>
    <col min="6" max="6" width="22.50390625" style="0" bestFit="1" customWidth="1"/>
    <col min="7" max="7" width="26.125" style="0" bestFit="1" customWidth="1"/>
    <col min="8" max="8" width="21.50390625" style="0" customWidth="1"/>
    <col min="9" max="9" width="11.00390625" style="0" bestFit="1" customWidth="1"/>
    <col min="10" max="10" width="10.625" style="0" customWidth="1"/>
    <col min="11" max="13" width="11.00390625" style="0" customWidth="1"/>
  </cols>
  <sheetData>
    <row r="5" ht="15.75">
      <c r="J5" s="5"/>
    </row>
    <row r="6" ht="15.75">
      <c r="J6" s="5"/>
    </row>
    <row r="7" spans="2:10" ht="15.75">
      <c r="B7" s="1"/>
      <c r="J7" s="5"/>
    </row>
    <row r="8" ht="15.75">
      <c r="J8" s="5"/>
    </row>
    <row r="9" spans="1:13" ht="15.75">
      <c r="A9" s="7" t="s">
        <v>102</v>
      </c>
      <c r="B9" s="7" t="s">
        <v>78</v>
      </c>
      <c r="C9" s="7" t="s">
        <v>106</v>
      </c>
      <c r="D9" s="7" t="s">
        <v>107</v>
      </c>
      <c r="E9" s="7" t="s">
        <v>136</v>
      </c>
      <c r="F9" s="7" t="s">
        <v>79</v>
      </c>
      <c r="G9" s="7" t="s">
        <v>137</v>
      </c>
      <c r="H9" s="7" t="s">
        <v>140</v>
      </c>
      <c r="I9" s="7"/>
      <c r="J9" s="5"/>
      <c r="K9" s="109"/>
      <c r="L9" s="109"/>
      <c r="M9" s="1"/>
    </row>
    <row r="10" spans="1:13" ht="15.75">
      <c r="A10" t="s">
        <v>87</v>
      </c>
      <c r="B10" s="4">
        <v>7285315</v>
      </c>
      <c r="C10" s="1">
        <v>0</v>
      </c>
      <c r="D10" s="1">
        <v>574836</v>
      </c>
      <c r="E10" s="4">
        <v>1471198</v>
      </c>
      <c r="F10" s="46">
        <f>C10+D10+E10</f>
        <v>2046034</v>
      </c>
      <c r="G10" s="12">
        <v>804308</v>
      </c>
      <c r="H10" s="47">
        <f>E10+G10</f>
        <v>2275506</v>
      </c>
      <c r="I10" s="17"/>
      <c r="J10" s="5"/>
      <c r="M10" s="1"/>
    </row>
    <row r="11" spans="1:13" s="5" customFormat="1" ht="15.75">
      <c r="A11" s="5" t="s">
        <v>88</v>
      </c>
      <c r="B11" s="4">
        <v>331500</v>
      </c>
      <c r="C11" s="4">
        <v>110151</v>
      </c>
      <c r="D11" s="4">
        <v>0</v>
      </c>
      <c r="E11" s="4">
        <v>0</v>
      </c>
      <c r="F11" s="46">
        <f>C11+D11+E11</f>
        <v>110151</v>
      </c>
      <c r="G11" s="12">
        <v>0</v>
      </c>
      <c r="H11" s="47">
        <f>E11+G11</f>
        <v>0</v>
      </c>
      <c r="J11" s="107"/>
      <c r="M11" s="4"/>
    </row>
    <row r="12" spans="1:13" s="5" customFormat="1" ht="15.75">
      <c r="A12" s="5" t="s">
        <v>34</v>
      </c>
      <c r="B12" s="4"/>
      <c r="C12" s="4">
        <v>0</v>
      </c>
      <c r="D12" s="4">
        <v>0</v>
      </c>
      <c r="E12" s="4">
        <v>0</v>
      </c>
      <c r="F12" s="46">
        <f>C12+D12+E12</f>
        <v>0</v>
      </c>
      <c r="G12" s="12">
        <v>105000</v>
      </c>
      <c r="H12" s="47">
        <f>E12+G12</f>
        <v>105000</v>
      </c>
      <c r="J12" s="19"/>
      <c r="M12" s="1"/>
    </row>
    <row r="13" spans="1:13" ht="15.75">
      <c r="A13" t="s">
        <v>133</v>
      </c>
      <c r="B13" s="4">
        <v>371020</v>
      </c>
      <c r="C13" s="1">
        <v>0</v>
      </c>
      <c r="D13" s="1">
        <v>278265</v>
      </c>
      <c r="E13" s="4">
        <v>92755</v>
      </c>
      <c r="F13" s="46">
        <f aca="true" t="shared" si="0" ref="F13:F26">C13+D13+E13</f>
        <v>371020</v>
      </c>
      <c r="G13" s="12">
        <v>0</v>
      </c>
      <c r="H13" s="47">
        <f aca="true" t="shared" si="1" ref="H13:H26">E13+G13</f>
        <v>92755</v>
      </c>
      <c r="J13" s="107"/>
      <c r="K13" s="5"/>
      <c r="L13" s="5"/>
      <c r="M13" s="1"/>
    </row>
    <row r="14" spans="1:13" ht="15.75">
      <c r="A14" t="s">
        <v>25</v>
      </c>
      <c r="B14" s="4"/>
      <c r="C14" s="1">
        <v>0</v>
      </c>
      <c r="D14" s="1">
        <v>0</v>
      </c>
      <c r="E14" s="4">
        <v>0</v>
      </c>
      <c r="F14" s="46">
        <f t="shared" si="0"/>
        <v>0</v>
      </c>
      <c r="G14" s="12">
        <v>625000</v>
      </c>
      <c r="H14" s="47">
        <f t="shared" si="1"/>
        <v>625000</v>
      </c>
      <c r="J14" s="19"/>
      <c r="K14" s="114"/>
      <c r="L14" s="114"/>
      <c r="M14" s="1"/>
    </row>
    <row r="15" spans="1:13" ht="15.75">
      <c r="A15" t="s">
        <v>19</v>
      </c>
      <c r="B15" s="4">
        <v>750000</v>
      </c>
      <c r="C15" s="1">
        <v>0</v>
      </c>
      <c r="D15" s="1">
        <v>0</v>
      </c>
      <c r="E15" s="4">
        <v>611068</v>
      </c>
      <c r="F15" s="46">
        <f t="shared" si="0"/>
        <v>611068</v>
      </c>
      <c r="G15" s="12">
        <f>138932+110674</f>
        <v>249606</v>
      </c>
      <c r="H15" s="47">
        <f t="shared" si="1"/>
        <v>860674</v>
      </c>
      <c r="J15" s="107"/>
      <c r="K15" s="114"/>
      <c r="L15" s="114"/>
      <c r="M15" s="1"/>
    </row>
    <row r="16" spans="1:13" ht="15.75">
      <c r="A16" t="s">
        <v>9</v>
      </c>
      <c r="B16" s="4">
        <v>1875000</v>
      </c>
      <c r="C16" s="1">
        <v>0</v>
      </c>
      <c r="D16" s="1">
        <v>0</v>
      </c>
      <c r="E16" s="116">
        <v>214230</v>
      </c>
      <c r="F16" s="46">
        <f t="shared" si="0"/>
        <v>214230</v>
      </c>
      <c r="G16" s="12">
        <f>142820+214230</f>
        <v>357050</v>
      </c>
      <c r="H16" s="47">
        <f t="shared" si="1"/>
        <v>571280</v>
      </c>
      <c r="J16" s="19"/>
      <c r="K16" s="114"/>
      <c r="L16" s="114"/>
      <c r="M16" s="4"/>
    </row>
    <row r="17" spans="1:13" ht="15.75">
      <c r="A17" t="s">
        <v>139</v>
      </c>
      <c r="B17" s="4">
        <v>180000</v>
      </c>
      <c r="C17" s="1">
        <v>0</v>
      </c>
      <c r="D17" s="1">
        <v>160000</v>
      </c>
      <c r="E17" s="116">
        <v>20000</v>
      </c>
      <c r="F17" s="46">
        <f>C17+D17+E17</f>
        <v>180000</v>
      </c>
      <c r="G17" s="12">
        <v>0</v>
      </c>
      <c r="H17" s="47">
        <f>E17+G17</f>
        <v>20000</v>
      </c>
      <c r="J17" s="107"/>
      <c r="K17" s="114"/>
      <c r="L17" s="114"/>
      <c r="M17" s="1"/>
    </row>
    <row r="18" spans="1:13" ht="15.75">
      <c r="A18" t="s">
        <v>90</v>
      </c>
      <c r="B18" s="4">
        <v>1146473</v>
      </c>
      <c r="C18" s="1">
        <v>297329</v>
      </c>
      <c r="D18" s="1">
        <v>225893</v>
      </c>
      <c r="E18" s="4">
        <v>52349</v>
      </c>
      <c r="F18" s="46">
        <f t="shared" si="0"/>
        <v>575571</v>
      </c>
      <c r="G18" s="12">
        <v>134172</v>
      </c>
      <c r="H18" s="47">
        <f t="shared" si="1"/>
        <v>186521</v>
      </c>
      <c r="J18" s="5"/>
      <c r="M18" s="1"/>
    </row>
    <row r="19" spans="1:13" ht="15.75">
      <c r="A19" t="s">
        <v>93</v>
      </c>
      <c r="B19" s="4">
        <v>390000</v>
      </c>
      <c r="C19" s="1">
        <v>0</v>
      </c>
      <c r="D19" s="1">
        <v>78000</v>
      </c>
      <c r="E19" s="4">
        <v>0</v>
      </c>
      <c r="F19" s="46">
        <f t="shared" si="0"/>
        <v>78000</v>
      </c>
      <c r="G19" s="12">
        <v>78000</v>
      </c>
      <c r="H19" s="47">
        <f t="shared" si="1"/>
        <v>78000</v>
      </c>
      <c r="J19" s="5"/>
      <c r="K19" s="112"/>
      <c r="L19" s="112"/>
      <c r="M19" s="113"/>
    </row>
    <row r="20" spans="1:13" ht="15.75">
      <c r="A20" t="s">
        <v>81</v>
      </c>
      <c r="B20" s="4">
        <v>1304016</v>
      </c>
      <c r="C20" s="1">
        <v>0</v>
      </c>
      <c r="D20" s="1">
        <v>909253</v>
      </c>
      <c r="E20" s="4">
        <v>206611</v>
      </c>
      <c r="F20" s="46">
        <f t="shared" si="0"/>
        <v>1115864</v>
      </c>
      <c r="G20" s="12">
        <v>0</v>
      </c>
      <c r="H20" s="47">
        <f t="shared" si="1"/>
        <v>206611</v>
      </c>
      <c r="I20" s="17"/>
      <c r="J20" s="107"/>
      <c r="K20" s="112"/>
      <c r="L20" s="112"/>
      <c r="M20" s="113"/>
    </row>
    <row r="21" spans="1:13" ht="15.75">
      <c r="A21" t="s">
        <v>41</v>
      </c>
      <c r="B21" s="4"/>
      <c r="C21" s="1">
        <v>0</v>
      </c>
      <c r="D21" s="1">
        <v>0</v>
      </c>
      <c r="E21" s="4">
        <v>0</v>
      </c>
      <c r="F21" s="46">
        <f t="shared" si="0"/>
        <v>0</v>
      </c>
      <c r="G21" s="115">
        <v>52793</v>
      </c>
      <c r="H21" s="47">
        <f t="shared" si="1"/>
        <v>52793</v>
      </c>
      <c r="I21" s="17"/>
      <c r="J21" s="19"/>
      <c r="K21" s="110"/>
      <c r="L21" s="110"/>
      <c r="M21" s="111"/>
    </row>
    <row r="22" spans="1:13" ht="15.75">
      <c r="A22" t="s">
        <v>91</v>
      </c>
      <c r="B22" s="4">
        <v>1043021</v>
      </c>
      <c r="C22" s="4">
        <v>0</v>
      </c>
      <c r="D22" s="4">
        <v>0</v>
      </c>
      <c r="E22" s="4">
        <v>249013</v>
      </c>
      <c r="F22" s="46">
        <f t="shared" si="0"/>
        <v>249013</v>
      </c>
      <c r="G22" s="12">
        <v>0</v>
      </c>
      <c r="H22" s="47">
        <f t="shared" si="1"/>
        <v>249013</v>
      </c>
      <c r="J22" s="5"/>
      <c r="K22" s="110"/>
      <c r="L22" s="110"/>
      <c r="M22" s="111"/>
    </row>
    <row r="23" spans="1:13" ht="15.75">
      <c r="A23" t="s">
        <v>89</v>
      </c>
      <c r="B23" s="4">
        <v>1259214</v>
      </c>
      <c r="C23" s="4">
        <v>424293</v>
      </c>
      <c r="D23" s="4">
        <v>0</v>
      </c>
      <c r="E23" s="4">
        <v>342168.37</v>
      </c>
      <c r="F23" s="46">
        <f t="shared" si="0"/>
        <v>766461.37</v>
      </c>
      <c r="G23" s="101">
        <f>108139.4*1.5</f>
        <v>162209.09999999998</v>
      </c>
      <c r="H23" s="95">
        <f t="shared" si="1"/>
        <v>504377.47</v>
      </c>
      <c r="J23" s="5"/>
      <c r="K23" s="110"/>
      <c r="L23" s="110"/>
      <c r="M23" s="113"/>
    </row>
    <row r="24" spans="1:13" ht="15.75">
      <c r="A24" t="s">
        <v>145</v>
      </c>
      <c r="B24" s="4">
        <v>243343</v>
      </c>
      <c r="C24" s="4">
        <v>0</v>
      </c>
      <c r="D24" s="4">
        <v>0</v>
      </c>
      <c r="E24" s="4">
        <v>139282</v>
      </c>
      <c r="F24" s="46">
        <f t="shared" si="0"/>
        <v>139282</v>
      </c>
      <c r="G24" s="12">
        <v>104061</v>
      </c>
      <c r="H24" s="95">
        <f t="shared" si="1"/>
        <v>243343</v>
      </c>
      <c r="J24" s="107"/>
      <c r="K24" s="110"/>
      <c r="L24" s="110"/>
      <c r="M24" s="1"/>
    </row>
    <row r="25" spans="1:13" ht="15.75">
      <c r="A25" t="s">
        <v>130</v>
      </c>
      <c r="B25" s="4">
        <v>0</v>
      </c>
      <c r="C25" s="1">
        <v>0</v>
      </c>
      <c r="D25" s="1">
        <v>0</v>
      </c>
      <c r="E25" s="1">
        <v>0</v>
      </c>
      <c r="F25" s="46">
        <f t="shared" si="0"/>
        <v>0</v>
      </c>
      <c r="G25" s="6">
        <v>0</v>
      </c>
      <c r="H25" s="47">
        <f t="shared" si="1"/>
        <v>0</v>
      </c>
      <c r="J25" s="5"/>
      <c r="K25" s="110"/>
      <c r="L25" s="110"/>
      <c r="M25" s="1"/>
    </row>
    <row r="26" spans="1:13" ht="15.75">
      <c r="A26" t="s">
        <v>36</v>
      </c>
      <c r="B26" s="4">
        <v>144244</v>
      </c>
      <c r="C26" s="1">
        <v>0</v>
      </c>
      <c r="D26" s="4">
        <v>0</v>
      </c>
      <c r="E26" s="116">
        <v>144244</v>
      </c>
      <c r="F26" s="46">
        <f t="shared" si="0"/>
        <v>144244</v>
      </c>
      <c r="G26" s="12">
        <v>0</v>
      </c>
      <c r="H26" s="47">
        <f t="shared" si="1"/>
        <v>144244</v>
      </c>
      <c r="J26" s="5"/>
      <c r="K26" s="110"/>
      <c r="L26" s="110"/>
      <c r="M26" s="113"/>
    </row>
    <row r="27" spans="1:13" ht="15.75">
      <c r="A27" s="10" t="s">
        <v>131</v>
      </c>
      <c r="B27" s="11">
        <f aca="true" t="shared" si="2" ref="B27:H27">SUM(B10:B26)</f>
        <v>16323146</v>
      </c>
      <c r="C27" s="11">
        <f t="shared" si="2"/>
        <v>831773</v>
      </c>
      <c r="D27" s="11">
        <f t="shared" si="2"/>
        <v>2226247</v>
      </c>
      <c r="E27" s="11">
        <f t="shared" si="2"/>
        <v>3542918.37</v>
      </c>
      <c r="F27" s="11">
        <f t="shared" si="2"/>
        <v>6600938.37</v>
      </c>
      <c r="G27" s="11">
        <f t="shared" si="2"/>
        <v>2672199.1</v>
      </c>
      <c r="H27" s="13">
        <f t="shared" si="2"/>
        <v>6215117.47</v>
      </c>
      <c r="J27" s="5"/>
      <c r="K27" s="110"/>
      <c r="L27" s="110"/>
      <c r="M27" s="113"/>
    </row>
    <row r="28" spans="8:13" ht="15.75">
      <c r="H28" s="6"/>
      <c r="J28" s="5"/>
      <c r="K28" s="110"/>
      <c r="L28" s="110"/>
      <c r="M28" s="113"/>
    </row>
    <row r="29" spans="1:13" ht="15.75">
      <c r="A29" s="7" t="s">
        <v>99</v>
      </c>
      <c r="H29" s="6"/>
      <c r="J29" s="5"/>
      <c r="K29" s="110"/>
      <c r="L29" s="110"/>
      <c r="M29" s="113"/>
    </row>
    <row r="30" spans="1:13" ht="15.75">
      <c r="A30" t="s">
        <v>86</v>
      </c>
      <c r="B30" s="1">
        <v>0</v>
      </c>
      <c r="C30" s="1">
        <v>0</v>
      </c>
      <c r="D30" s="1">
        <v>0</v>
      </c>
      <c r="E30" s="1">
        <v>0</v>
      </c>
      <c r="F30" s="1">
        <f>C30+D30+E30</f>
        <v>0</v>
      </c>
      <c r="G30" s="6">
        <v>0</v>
      </c>
      <c r="H30" s="6">
        <f aca="true" t="shared" si="3" ref="H30:H37">E30+G30</f>
        <v>0</v>
      </c>
      <c r="J30" s="5"/>
      <c r="K30" s="110"/>
      <c r="L30" s="110"/>
      <c r="M30" s="113"/>
    </row>
    <row r="31" spans="1:13" ht="15.75">
      <c r="A31" t="s">
        <v>134</v>
      </c>
      <c r="B31" s="1">
        <v>362451</v>
      </c>
      <c r="C31" s="1">
        <v>0</v>
      </c>
      <c r="D31" s="1">
        <v>341838</v>
      </c>
      <c r="E31" s="1">
        <v>20613</v>
      </c>
      <c r="F31" s="1">
        <f>C31+D31+E31</f>
        <v>362451</v>
      </c>
      <c r="G31" s="6">
        <v>0</v>
      </c>
      <c r="H31" s="6">
        <f t="shared" si="3"/>
        <v>20613</v>
      </c>
      <c r="K31" s="110"/>
      <c r="L31" s="110"/>
      <c r="M31" s="113"/>
    </row>
    <row r="32" spans="1:13" ht="15.75">
      <c r="A32" t="s">
        <v>80</v>
      </c>
      <c r="B32" s="1">
        <v>783604</v>
      </c>
      <c r="C32" s="1">
        <f>495000+193000</f>
        <v>688000</v>
      </c>
      <c r="D32" s="1">
        <v>95604</v>
      </c>
      <c r="E32" s="1">
        <v>0</v>
      </c>
      <c r="F32" s="1">
        <f>C32+D32</f>
        <v>783604</v>
      </c>
      <c r="G32" s="6">
        <v>0</v>
      </c>
      <c r="H32" s="6">
        <f t="shared" si="3"/>
        <v>0</v>
      </c>
      <c r="M32" s="113"/>
    </row>
    <row r="33" spans="1:13" ht="15.75">
      <c r="A33" t="s">
        <v>35</v>
      </c>
      <c r="B33" s="1">
        <f>C33+D33</f>
        <v>256733</v>
      </c>
      <c r="C33" s="4">
        <v>31016</v>
      </c>
      <c r="D33" s="4">
        <v>225717</v>
      </c>
      <c r="E33" s="1">
        <v>0</v>
      </c>
      <c r="F33" s="1">
        <f>C33+D33</f>
        <v>256733</v>
      </c>
      <c r="G33" s="6">
        <v>0</v>
      </c>
      <c r="H33" s="6">
        <v>0</v>
      </c>
      <c r="M33" s="113"/>
    </row>
    <row r="34" spans="1:13" ht="15.75">
      <c r="A34" t="s">
        <v>82</v>
      </c>
      <c r="B34" s="1">
        <v>78000</v>
      </c>
      <c r="C34" s="1">
        <v>0</v>
      </c>
      <c r="D34" s="1">
        <v>62400</v>
      </c>
      <c r="E34" s="1">
        <v>0</v>
      </c>
      <c r="F34" s="1">
        <f>C34+D34+E34</f>
        <v>62400</v>
      </c>
      <c r="G34" s="6">
        <v>0</v>
      </c>
      <c r="H34" s="6">
        <f t="shared" si="3"/>
        <v>0</v>
      </c>
      <c r="M34" s="113"/>
    </row>
    <row r="35" spans="1:13" ht="15.75">
      <c r="A35" t="s">
        <v>83</v>
      </c>
      <c r="B35" s="1">
        <v>500000</v>
      </c>
      <c r="C35" s="1">
        <v>0</v>
      </c>
      <c r="D35" s="1">
        <v>500000</v>
      </c>
      <c r="E35" s="1">
        <v>0</v>
      </c>
      <c r="F35" s="1">
        <f>C35+D35+E35</f>
        <v>500000</v>
      </c>
      <c r="G35" s="6">
        <v>0</v>
      </c>
      <c r="H35" s="6">
        <f t="shared" si="3"/>
        <v>0</v>
      </c>
      <c r="M35" s="113"/>
    </row>
    <row r="36" spans="1:13" ht="15.75">
      <c r="A36" t="s">
        <v>84</v>
      </c>
      <c r="B36" s="1">
        <v>150000</v>
      </c>
      <c r="C36" s="1">
        <v>0</v>
      </c>
      <c r="D36" s="1">
        <v>140000</v>
      </c>
      <c r="E36" s="1">
        <v>7711</v>
      </c>
      <c r="F36" s="1">
        <f>C36+D36+E36</f>
        <v>147711</v>
      </c>
      <c r="G36" s="6">
        <v>0</v>
      </c>
      <c r="H36" s="6">
        <f t="shared" si="3"/>
        <v>7711</v>
      </c>
      <c r="M36" s="113"/>
    </row>
    <row r="37" spans="1:13" ht="15.75">
      <c r="A37" t="s">
        <v>85</v>
      </c>
      <c r="B37" s="4">
        <v>32000</v>
      </c>
      <c r="C37" s="1">
        <v>0</v>
      </c>
      <c r="D37" s="4">
        <v>32500</v>
      </c>
      <c r="E37" s="4">
        <v>0</v>
      </c>
      <c r="F37" s="4">
        <f>C37+D37+E37</f>
        <v>32500</v>
      </c>
      <c r="G37" s="12">
        <v>0</v>
      </c>
      <c r="H37" s="12">
        <f t="shared" si="3"/>
        <v>0</v>
      </c>
      <c r="M37" s="113"/>
    </row>
    <row r="38" spans="1:13" ht="15.75">
      <c r="A38" s="10" t="s">
        <v>131</v>
      </c>
      <c r="B38" s="11">
        <f>SUM(B30:B37)</f>
        <v>2162788</v>
      </c>
      <c r="C38" s="11">
        <f aca="true" t="shared" si="4" ref="C38:H38">SUM(C30:C36)</f>
        <v>719016</v>
      </c>
      <c r="D38" s="11">
        <f t="shared" si="4"/>
        <v>1365559</v>
      </c>
      <c r="E38" s="11">
        <f t="shared" si="4"/>
        <v>28324</v>
      </c>
      <c r="F38" s="11">
        <f t="shared" si="4"/>
        <v>2112899</v>
      </c>
      <c r="G38" s="11">
        <f t="shared" si="4"/>
        <v>0</v>
      </c>
      <c r="H38" s="11">
        <f t="shared" si="4"/>
        <v>28324</v>
      </c>
      <c r="M38" s="113"/>
    </row>
    <row r="39" spans="1:8" ht="15.75">
      <c r="A39" s="3" t="s">
        <v>20</v>
      </c>
      <c r="B39" s="1">
        <f aca="true" t="shared" si="5" ref="B39:H39">B27+B38</f>
        <v>18485934</v>
      </c>
      <c r="C39" s="1">
        <f t="shared" si="5"/>
        <v>1550789</v>
      </c>
      <c r="D39" s="1">
        <f t="shared" si="5"/>
        <v>3591806</v>
      </c>
      <c r="E39" s="1">
        <f t="shared" si="5"/>
        <v>3571242.37</v>
      </c>
      <c r="F39" s="1">
        <f t="shared" si="5"/>
        <v>8713837.370000001</v>
      </c>
      <c r="G39" s="1">
        <f t="shared" si="5"/>
        <v>2672199.1</v>
      </c>
      <c r="H39" s="1">
        <f t="shared" si="5"/>
        <v>6243441.47</v>
      </c>
    </row>
    <row r="42" spans="1:5" ht="15">
      <c r="A42" s="9" t="s">
        <v>104</v>
      </c>
      <c r="B42" s="108">
        <f>B30+B20+B34+B35+B36+B17+B13+B31+B15+B24+B32+B12+B26</f>
        <v>4866678</v>
      </c>
      <c r="C42" s="1"/>
      <c r="D42" s="1"/>
      <c r="E42" s="1"/>
    </row>
    <row r="43" spans="1:5" ht="15">
      <c r="A43" s="9" t="s">
        <v>105</v>
      </c>
      <c r="B43" s="108">
        <f>B10+B11+B18+B22+B23+B19+B25+B37+B33+B16+B14</f>
        <v>13619256</v>
      </c>
      <c r="C43" s="1"/>
      <c r="D43" s="1"/>
      <c r="E43" s="1"/>
    </row>
    <row r="44" spans="1:2" ht="15">
      <c r="A44" s="9" t="s">
        <v>132</v>
      </c>
      <c r="B44" s="108">
        <f>SUM(B42:B43)</f>
        <v>18485934</v>
      </c>
    </row>
  </sheetData>
  <sheetProtection sheet="1" objects="1" scenarios="1" formatCells="0" formatColumns="0" formatRows="0" insertColumns="0" insertRows="0" insertHyperlinks="0" pivotTables="0"/>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B36" sqref="B36"/>
    </sheetView>
  </sheetViews>
  <sheetFormatPr defaultColWidth="8.875" defaultRowHeight="15.75"/>
  <cols>
    <col min="1" max="1" width="26.625" style="0" customWidth="1"/>
    <col min="2" max="2" width="31.875" style="0" customWidth="1"/>
    <col min="3" max="3" width="20.875" style="0" customWidth="1"/>
    <col min="4" max="4" width="29.375" style="0" customWidth="1"/>
    <col min="5" max="5" width="24.625" style="0" customWidth="1"/>
    <col min="6" max="6" width="23.625" style="0" customWidth="1"/>
  </cols>
  <sheetData>
    <row r="1" spans="1:3" ht="16.5" thickBot="1">
      <c r="A1" s="120" t="s">
        <v>51</v>
      </c>
      <c r="B1" s="120" t="s">
        <v>52</v>
      </c>
      <c r="C1" s="120" t="s">
        <v>53</v>
      </c>
    </row>
    <row r="2" spans="1:3" ht="15.75">
      <c r="A2" s="119" t="s">
        <v>56</v>
      </c>
      <c r="B2" s="1">
        <f>'Program Financing'!B10</f>
        <v>7285315</v>
      </c>
      <c r="C2" s="125">
        <f aca="true" t="shared" si="0" ref="C2:C15">B2/$B$16</f>
        <v>0.39410045497295404</v>
      </c>
    </row>
    <row r="3" spans="1:3" ht="15.75">
      <c r="A3" s="119" t="s">
        <v>37</v>
      </c>
      <c r="B3" s="1">
        <f>'Program Financing'!B15+'Program Financing'!B16+'Program Financing'!B31</f>
        <v>2987451</v>
      </c>
      <c r="C3" s="125">
        <f t="shared" si="0"/>
        <v>0.1616067113514524</v>
      </c>
    </row>
    <row r="4" spans="1:3" ht="15.75">
      <c r="A4" s="119" t="s">
        <v>61</v>
      </c>
      <c r="B4" s="1">
        <f>'Program Financing'!B20+'Program Financing'!B32</f>
        <v>2087620</v>
      </c>
      <c r="C4" s="125">
        <f t="shared" si="0"/>
        <v>0.11293018789312999</v>
      </c>
    </row>
    <row r="5" spans="1:3" ht="15.75">
      <c r="A5" s="119" t="s">
        <v>62</v>
      </c>
      <c r="B5" s="1">
        <f>'Program Financing'!B22+'Program Financing'!B33</f>
        <v>1299754</v>
      </c>
      <c r="C5" s="125">
        <f t="shared" si="0"/>
        <v>0.07031043170445161</v>
      </c>
    </row>
    <row r="6" spans="1:3" ht="15.75">
      <c r="A6" s="119" t="s">
        <v>63</v>
      </c>
      <c r="B6" s="1">
        <f>'Program Financing'!B23</f>
        <v>1259214</v>
      </c>
      <c r="C6" s="125">
        <f t="shared" si="0"/>
        <v>0.06811741294759573</v>
      </c>
    </row>
    <row r="7" spans="1:3" ht="15.75">
      <c r="A7" s="119" t="s">
        <v>59</v>
      </c>
      <c r="B7" s="1">
        <f>'Program Financing'!B18</f>
        <v>1146473</v>
      </c>
      <c r="C7" s="125">
        <f t="shared" si="0"/>
        <v>0.06201866781521561</v>
      </c>
    </row>
    <row r="8" spans="1:3" ht="15.75">
      <c r="A8" s="119" t="s">
        <v>46</v>
      </c>
      <c r="B8" s="1">
        <f>'Program Financing'!B35</f>
        <v>500000</v>
      </c>
      <c r="C8" s="125">
        <f t="shared" si="0"/>
        <v>0.027047591969115544</v>
      </c>
    </row>
    <row r="9" spans="1:3" ht="15.75">
      <c r="A9" s="119" t="s">
        <v>64</v>
      </c>
      <c r="B9" s="1">
        <f>'Program Financing'!B24+'Program Financing'!B36</f>
        <v>393343</v>
      </c>
      <c r="C9" s="125">
        <f t="shared" si="0"/>
        <v>0.02127796193581563</v>
      </c>
    </row>
    <row r="10" spans="1:3" ht="15.75">
      <c r="A10" s="119" t="s">
        <v>60</v>
      </c>
      <c r="B10" s="1">
        <f>'Program Financing'!B19</f>
        <v>390000</v>
      </c>
      <c r="C10" s="125">
        <f t="shared" si="0"/>
        <v>0.021097121735910124</v>
      </c>
    </row>
    <row r="11" spans="1:3" ht="15.75">
      <c r="A11" s="119" t="s">
        <v>45</v>
      </c>
      <c r="B11" s="1">
        <f>'Program Financing'!B13</f>
        <v>371020</v>
      </c>
      <c r="C11" s="125">
        <f t="shared" si="0"/>
        <v>0.0200703951447625</v>
      </c>
    </row>
    <row r="12" spans="1:3" ht="15.75">
      <c r="A12" s="119" t="s">
        <v>57</v>
      </c>
      <c r="B12" s="1">
        <f>'Program Financing'!B11</f>
        <v>331500</v>
      </c>
      <c r="C12" s="125">
        <f t="shared" si="0"/>
        <v>0.017932553475523607</v>
      </c>
    </row>
    <row r="13" spans="1:3" ht="15.75">
      <c r="A13" s="119" t="s">
        <v>58</v>
      </c>
      <c r="B13" s="1">
        <f>'Program Financing'!B17</f>
        <v>180000</v>
      </c>
      <c r="C13" s="125">
        <f t="shared" si="0"/>
        <v>0.009737133108881597</v>
      </c>
    </row>
    <row r="14" spans="1:3" ht="15.75">
      <c r="A14" s="119" t="s">
        <v>65</v>
      </c>
      <c r="B14" s="1">
        <f>'Program Financing'!B26+'Program Financing'!B37</f>
        <v>176244</v>
      </c>
      <c r="C14" s="125">
        <f t="shared" si="0"/>
        <v>0.0095339515980096</v>
      </c>
    </row>
    <row r="15" spans="1:3" ht="15.75">
      <c r="A15" s="121" t="s">
        <v>66</v>
      </c>
      <c r="B15" s="1">
        <f>'Program Financing'!B34</f>
        <v>78000</v>
      </c>
      <c r="C15" s="125">
        <f t="shared" si="0"/>
        <v>0.004219424347182025</v>
      </c>
    </row>
    <row r="16" spans="1:3" ht="15.75">
      <c r="A16" s="122" t="s">
        <v>132</v>
      </c>
      <c r="B16" s="123">
        <f>SUM(B2:B15)</f>
        <v>18485934</v>
      </c>
      <c r="C16" s="126">
        <f>SUM(C2:C15)</f>
        <v>1</v>
      </c>
    </row>
    <row r="18" spans="1:3" ht="16.5" thickBot="1">
      <c r="A18" s="120" t="s">
        <v>51</v>
      </c>
      <c r="B18" s="120" t="s">
        <v>54</v>
      </c>
      <c r="C18" s="120" t="s">
        <v>55</v>
      </c>
    </row>
    <row r="19" spans="1:4" ht="15.75">
      <c r="A19" s="119" t="s">
        <v>56</v>
      </c>
      <c r="B19" s="1">
        <f>'Program Financing'!F10</f>
        <v>2046034</v>
      </c>
      <c r="C19" s="124">
        <f aca="true" t="shared" si="1" ref="C19:C32">B19/$B$33</f>
        <v>0.23393037719056106</v>
      </c>
      <c r="D19" s="1"/>
    </row>
    <row r="20" spans="1:4" ht="15.75">
      <c r="A20" s="119" t="s">
        <v>61</v>
      </c>
      <c r="B20" s="1">
        <f>'Program Financing'!F20+'Program Financing'!F32</f>
        <v>1899468</v>
      </c>
      <c r="C20" s="124">
        <f t="shared" si="1"/>
        <v>0.2171729627666992</v>
      </c>
      <c r="D20" s="1"/>
    </row>
    <row r="21" spans="1:3" ht="15.75">
      <c r="A21" s="119" t="s">
        <v>37</v>
      </c>
      <c r="B21" s="1">
        <f>'Program Financing'!F15+'Program Financing'!F16+'Program Financing'!F31</f>
        <v>1187749</v>
      </c>
      <c r="C21" s="124">
        <f t="shared" si="1"/>
        <v>0.13579958670174186</v>
      </c>
    </row>
    <row r="22" spans="1:3" ht="15.75">
      <c r="A22" s="119" t="s">
        <v>63</v>
      </c>
      <c r="B22" s="1">
        <f>'Program Financing'!F23</f>
        <v>766461.37</v>
      </c>
      <c r="C22" s="124">
        <f t="shared" si="1"/>
        <v>0.08763226680792899</v>
      </c>
    </row>
    <row r="23" spans="1:3" ht="15.75">
      <c r="A23" s="119" t="s">
        <v>59</v>
      </c>
      <c r="B23" s="1">
        <f>'Program Financing'!F18</f>
        <v>575571</v>
      </c>
      <c r="C23" s="124">
        <f t="shared" si="1"/>
        <v>0.06580708880201816</v>
      </c>
    </row>
    <row r="24" spans="1:3" ht="15.75">
      <c r="A24" s="119" t="s">
        <v>62</v>
      </c>
      <c r="B24" s="1">
        <f>'Program Financing'!F22+'Program Financing'!F33</f>
        <v>505746</v>
      </c>
      <c r="C24" s="124">
        <f t="shared" si="1"/>
        <v>0.0578237470846611</v>
      </c>
    </row>
    <row r="25" spans="1:3" ht="15.75">
      <c r="A25" s="119" t="s">
        <v>46</v>
      </c>
      <c r="B25" s="1">
        <f>'Program Financing'!F35</f>
        <v>500000</v>
      </c>
      <c r="C25" s="124">
        <f t="shared" si="1"/>
        <v>0.057166786375632335</v>
      </c>
    </row>
    <row r="26" spans="1:3" ht="15.75">
      <c r="A26" s="119" t="s">
        <v>45</v>
      </c>
      <c r="B26" s="1">
        <f>'Program Financing'!F13</f>
        <v>371020</v>
      </c>
      <c r="C26" s="124">
        <f t="shared" si="1"/>
        <v>0.04242004216217422</v>
      </c>
    </row>
    <row r="27" spans="1:3" ht="15.75">
      <c r="A27" s="119" t="s">
        <v>64</v>
      </c>
      <c r="B27" s="1">
        <f>'Program Financing'!F24+'Program Financing'!F36</f>
        <v>286993</v>
      </c>
      <c r="C27" s="124">
        <f t="shared" si="1"/>
        <v>0.032812935044603704</v>
      </c>
    </row>
    <row r="28" spans="1:3" ht="15.75">
      <c r="A28" s="119" t="s">
        <v>58</v>
      </c>
      <c r="B28" s="1">
        <f>'Program Financing'!F17</f>
        <v>180000</v>
      </c>
      <c r="C28" s="124">
        <f t="shared" si="1"/>
        <v>0.02058004309522764</v>
      </c>
    </row>
    <row r="29" spans="1:3" ht="15.75">
      <c r="A29" s="119" t="s">
        <v>65</v>
      </c>
      <c r="B29" s="1">
        <f>'Program Financing'!F26+'Program Financing'!F37</f>
        <v>176744</v>
      </c>
      <c r="C29" s="124">
        <f t="shared" si="1"/>
        <v>0.020207772982349523</v>
      </c>
    </row>
    <row r="30" spans="1:3" ht="15.75">
      <c r="A30" s="119" t="s">
        <v>57</v>
      </c>
      <c r="B30" s="1">
        <f>'Program Financing'!F11</f>
        <v>110151</v>
      </c>
      <c r="C30" s="124">
        <f t="shared" si="1"/>
        <v>0.012593957372124555</v>
      </c>
    </row>
    <row r="31" spans="1:3" ht="15.75">
      <c r="A31" s="119" t="s">
        <v>60</v>
      </c>
      <c r="B31" s="1">
        <f>'Program Financing'!F19</f>
        <v>78000</v>
      </c>
      <c r="C31" s="124">
        <f t="shared" si="1"/>
        <v>0.008918018674598644</v>
      </c>
    </row>
    <row r="32" spans="1:3" ht="15.75">
      <c r="A32" s="121" t="s">
        <v>66</v>
      </c>
      <c r="B32" s="1">
        <f>'Program Financing'!F34</f>
        <v>62400</v>
      </c>
      <c r="C32" s="124">
        <f t="shared" si="1"/>
        <v>0.007134414939678915</v>
      </c>
    </row>
    <row r="33" spans="1:3" ht="15.75">
      <c r="A33" s="122" t="s">
        <v>132</v>
      </c>
      <c r="B33" s="123">
        <f>SUM(B19:B32)</f>
        <v>8746337.370000001</v>
      </c>
      <c r="C33" s="126">
        <f>SUM(C19:C32)</f>
        <v>0.9999999999999999</v>
      </c>
    </row>
    <row r="36" spans="1:2" ht="15.75">
      <c r="A36" s="7" t="s">
        <v>67</v>
      </c>
      <c r="B36" s="1">
        <f>B16-B33</f>
        <v>9739596.629999999</v>
      </c>
    </row>
  </sheetData>
  <sheetProtection/>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codeName="Sheet3"/>
  <dimension ref="A2:K60"/>
  <sheetViews>
    <sheetView zoomScalePageLayoutView="0" workbookViewId="0" topLeftCell="A1">
      <selection activeCell="F23" sqref="F23"/>
    </sheetView>
  </sheetViews>
  <sheetFormatPr defaultColWidth="10.625" defaultRowHeight="15.75"/>
  <cols>
    <col min="1" max="1" width="10.625" style="0" customWidth="1"/>
    <col min="2" max="2" width="36.125" style="0" customWidth="1"/>
    <col min="3" max="4" width="38.375" style="0" customWidth="1"/>
    <col min="5" max="5" width="45.375" style="0" customWidth="1"/>
    <col min="6" max="6" width="28.125" style="0" customWidth="1"/>
    <col min="7" max="7" width="25.875" style="0" bestFit="1" customWidth="1"/>
    <col min="8" max="8" width="22.00390625" style="0" customWidth="1"/>
    <col min="9" max="9" width="32.625" style="0" customWidth="1"/>
    <col min="10" max="10" width="29.375" style="0" customWidth="1"/>
    <col min="11" max="11" width="32.625" style="0" customWidth="1"/>
  </cols>
  <sheetData>
    <row r="2" spans="2:7" ht="15.75">
      <c r="B2" t="s">
        <v>7</v>
      </c>
      <c r="C2" s="15"/>
      <c r="D2" s="19" t="s">
        <v>146</v>
      </c>
      <c r="E2" s="19" t="s">
        <v>146</v>
      </c>
      <c r="G2" s="89" t="e">
        <f>CountCellsByColor(G7:G61,$G2)</f>
        <v>#NAME?</v>
      </c>
    </row>
    <row r="3" spans="1:7" ht="15.75">
      <c r="A3" s="48" t="s">
        <v>22</v>
      </c>
      <c r="B3" s="87" t="e">
        <f>CountCellsByColor(B7:B63,$A3)</f>
        <v>#NAME?</v>
      </c>
      <c r="C3" s="87" t="e">
        <f>CountCellsByColor(C7:C63,$A3)</f>
        <v>#NAME?</v>
      </c>
      <c r="D3" s="87" t="e">
        <f>CountCellsByColor(D7:D66,$A3)</f>
        <v>#NAME?</v>
      </c>
      <c r="E3" s="87" t="e">
        <f>CountCellsByColor(E7:E64,$A3)</f>
        <v>#NAME?</v>
      </c>
      <c r="G3" s="90" t="e">
        <f>CountCellsByColor(G7:G62,$G3)</f>
        <v>#NAME?</v>
      </c>
    </row>
    <row r="4" spans="1:7" ht="15.75">
      <c r="A4" s="49" t="s">
        <v>23</v>
      </c>
      <c r="B4" s="88" t="e">
        <f>CountCellsByColor(B7:B64,$A4)</f>
        <v>#NAME?</v>
      </c>
      <c r="C4" s="88" t="e">
        <f>CountCellsByColor(C7:C64,$A4)</f>
        <v>#NAME?</v>
      </c>
      <c r="D4" s="88" t="e">
        <f>CountCellsByColor(D7:D67,$A4)</f>
        <v>#NAME?</v>
      </c>
      <c r="E4" s="88" t="e">
        <f>CountCellsByColor(E7:E65,$A4)</f>
        <v>#NAME?</v>
      </c>
      <c r="G4" s="91" t="e">
        <f>CountCellsByColor(G7:G63,$G4)</f>
        <v>#NAME?</v>
      </c>
    </row>
    <row r="5" spans="2:11" ht="15.75">
      <c r="B5" s="8">
        <f>COUNTA(B7:B50)</f>
        <v>7</v>
      </c>
      <c r="C5" s="8">
        <f>COUNTA(C7:C60)</f>
        <v>16</v>
      </c>
      <c r="D5" s="16">
        <f>COUNTA(D7:D63)</f>
        <v>18</v>
      </c>
      <c r="E5" s="8">
        <f>COUNTA(E7:E50)</f>
        <v>12</v>
      </c>
      <c r="F5" s="8">
        <f>COUNTA(F7:F36)</f>
        <v>4</v>
      </c>
      <c r="G5" s="8">
        <f>COUNTA(G7:G65)</f>
        <v>54</v>
      </c>
      <c r="H5" s="8">
        <f>COUNTA(H7:H51)</f>
        <v>8</v>
      </c>
      <c r="I5" s="96">
        <f>COUNTA(I7:I22)</f>
        <v>11</v>
      </c>
      <c r="J5" s="8">
        <f>COUNTA(J7:J13)</f>
        <v>7</v>
      </c>
      <c r="K5" s="96">
        <f>COUNTA(K7:K11)</f>
        <v>1</v>
      </c>
    </row>
    <row r="6" spans="2:11" ht="15.75">
      <c r="B6" s="7" t="s">
        <v>43</v>
      </c>
      <c r="C6" s="7" t="s">
        <v>12</v>
      </c>
      <c r="D6" s="7" t="s">
        <v>16</v>
      </c>
      <c r="E6" s="97" t="s">
        <v>44</v>
      </c>
      <c r="F6" s="7" t="s">
        <v>141</v>
      </c>
      <c r="G6" s="7" t="s">
        <v>109</v>
      </c>
      <c r="H6" s="7" t="s">
        <v>99</v>
      </c>
      <c r="I6" s="97" t="s">
        <v>70</v>
      </c>
      <c r="J6" s="7" t="s">
        <v>71</v>
      </c>
      <c r="K6" s="97" t="s">
        <v>32</v>
      </c>
    </row>
    <row r="7" spans="2:11" ht="15.75">
      <c r="B7" s="49" t="s">
        <v>88</v>
      </c>
      <c r="C7" s="50" t="s">
        <v>87</v>
      </c>
      <c r="D7" s="49" t="s">
        <v>87</v>
      </c>
      <c r="E7" s="49" t="s">
        <v>87</v>
      </c>
      <c r="F7" t="s">
        <v>128</v>
      </c>
      <c r="G7" s="93" t="s">
        <v>110</v>
      </c>
      <c r="H7" t="s">
        <v>86</v>
      </c>
      <c r="I7" s="5" t="s">
        <v>72</v>
      </c>
      <c r="J7" t="s">
        <v>77</v>
      </c>
      <c r="K7" s="5" t="s">
        <v>76</v>
      </c>
    </row>
    <row r="8" spans="2:10" ht="15.75">
      <c r="B8" s="49" t="s">
        <v>90</v>
      </c>
      <c r="C8" s="50" t="s">
        <v>88</v>
      </c>
      <c r="D8" s="50" t="s">
        <v>88</v>
      </c>
      <c r="E8" s="51" t="s">
        <v>25</v>
      </c>
      <c r="F8" t="s">
        <v>45</v>
      </c>
      <c r="G8" s="92" t="s">
        <v>147</v>
      </c>
      <c r="H8" s="14" t="s">
        <v>134</v>
      </c>
      <c r="I8" s="5" t="s">
        <v>73</v>
      </c>
      <c r="J8" t="s">
        <v>31</v>
      </c>
    </row>
    <row r="9" spans="2:10" ht="15.75">
      <c r="B9" s="48" t="s">
        <v>80</v>
      </c>
      <c r="C9" s="48" t="s">
        <v>86</v>
      </c>
      <c r="D9" s="53" t="s">
        <v>24</v>
      </c>
      <c r="E9" s="52" t="s">
        <v>142</v>
      </c>
      <c r="F9" t="s">
        <v>46</v>
      </c>
      <c r="G9" s="92" t="s">
        <v>148</v>
      </c>
      <c r="H9" t="s">
        <v>80</v>
      </c>
      <c r="I9" s="5" t="s">
        <v>74</v>
      </c>
      <c r="J9" t="s">
        <v>97</v>
      </c>
    </row>
    <row r="10" spans="2:10" ht="15.75">
      <c r="B10" s="49" t="s">
        <v>91</v>
      </c>
      <c r="C10" s="48" t="s">
        <v>133</v>
      </c>
      <c r="D10" s="52" t="s">
        <v>133</v>
      </c>
      <c r="E10" s="51" t="s">
        <v>8</v>
      </c>
      <c r="F10" t="s">
        <v>37</v>
      </c>
      <c r="G10" s="92" t="s">
        <v>149</v>
      </c>
      <c r="H10" t="s">
        <v>35</v>
      </c>
      <c r="I10" s="5" t="s">
        <v>135</v>
      </c>
      <c r="J10" t="s">
        <v>98</v>
      </c>
    </row>
    <row r="11" spans="2:10" ht="15.75">
      <c r="B11" s="49" t="s">
        <v>89</v>
      </c>
      <c r="C11" s="48" t="s">
        <v>134</v>
      </c>
      <c r="D11" s="51" t="s">
        <v>25</v>
      </c>
      <c r="E11" s="49" t="s">
        <v>90</v>
      </c>
      <c r="G11" s="92" t="s">
        <v>150</v>
      </c>
      <c r="H11" t="s">
        <v>82</v>
      </c>
      <c r="I11" s="5" t="s">
        <v>75</v>
      </c>
      <c r="J11" t="s">
        <v>29</v>
      </c>
    </row>
    <row r="12" spans="2:10" ht="15.75">
      <c r="B12" s="49" t="s">
        <v>108</v>
      </c>
      <c r="C12" s="48" t="s">
        <v>138</v>
      </c>
      <c r="D12" s="52" t="s">
        <v>142</v>
      </c>
      <c r="E12" s="49" t="s">
        <v>93</v>
      </c>
      <c r="G12" s="92" t="s">
        <v>151</v>
      </c>
      <c r="H12" t="s">
        <v>83</v>
      </c>
      <c r="I12" s="5" t="s">
        <v>100</v>
      </c>
      <c r="J12" t="s">
        <v>30</v>
      </c>
    </row>
    <row r="13" spans="2:10" ht="15.75">
      <c r="B13" s="49" t="s">
        <v>85</v>
      </c>
      <c r="C13" s="50" t="s">
        <v>90</v>
      </c>
      <c r="D13" s="51" t="s">
        <v>8</v>
      </c>
      <c r="E13" s="53" t="s">
        <v>33</v>
      </c>
      <c r="G13" s="94" t="s">
        <v>111</v>
      </c>
      <c r="H13" t="s">
        <v>84</v>
      </c>
      <c r="I13" s="5" t="s">
        <v>103</v>
      </c>
      <c r="J13" s="5" t="s">
        <v>39</v>
      </c>
    </row>
    <row r="14" spans="3:10" ht="15.75">
      <c r="C14" s="50" t="s">
        <v>93</v>
      </c>
      <c r="D14" s="52" t="s">
        <v>138</v>
      </c>
      <c r="E14" s="49" t="s">
        <v>91</v>
      </c>
      <c r="G14" s="92" t="s">
        <v>152</v>
      </c>
      <c r="H14" t="s">
        <v>38</v>
      </c>
      <c r="I14" s="5" t="s">
        <v>21</v>
      </c>
      <c r="J14" s="5" t="s">
        <v>47</v>
      </c>
    </row>
    <row r="15" spans="3:10" ht="15.75">
      <c r="C15" s="48" t="s">
        <v>92</v>
      </c>
      <c r="D15" s="49" t="s">
        <v>90</v>
      </c>
      <c r="E15" s="49" t="s">
        <v>89</v>
      </c>
      <c r="G15" s="92" t="s">
        <v>153</v>
      </c>
      <c r="I15" s="5" t="s">
        <v>26</v>
      </c>
      <c r="J15" s="5" t="s">
        <v>48</v>
      </c>
    </row>
    <row r="16" spans="3:10" ht="15.75">
      <c r="C16" s="50" t="s">
        <v>91</v>
      </c>
      <c r="D16" s="49" t="s">
        <v>93</v>
      </c>
      <c r="E16" s="52" t="s">
        <v>145</v>
      </c>
      <c r="G16" s="94" t="s">
        <v>5</v>
      </c>
      <c r="I16" s="5" t="s">
        <v>27</v>
      </c>
      <c r="J16" s="5" t="s">
        <v>49</v>
      </c>
    </row>
    <row r="17" spans="3:10" ht="15">
      <c r="C17" s="48" t="s">
        <v>82</v>
      </c>
      <c r="D17" s="52" t="s">
        <v>92</v>
      </c>
      <c r="E17" s="51" t="s">
        <v>128</v>
      </c>
      <c r="G17" s="94" t="s">
        <v>112</v>
      </c>
      <c r="I17" s="5" t="s">
        <v>28</v>
      </c>
      <c r="J17" s="5" t="s">
        <v>50</v>
      </c>
    </row>
    <row r="18" spans="3:7" ht="15">
      <c r="C18" s="48" t="s">
        <v>83</v>
      </c>
      <c r="D18" s="53" t="s">
        <v>33</v>
      </c>
      <c r="E18" s="48" t="s">
        <v>36</v>
      </c>
      <c r="G18" s="94" t="s">
        <v>113</v>
      </c>
    </row>
    <row r="19" spans="3:7" ht="15">
      <c r="C19" s="50" t="s">
        <v>89</v>
      </c>
      <c r="D19" s="49" t="s">
        <v>91</v>
      </c>
      <c r="G19" s="92" t="s">
        <v>154</v>
      </c>
    </row>
    <row r="20" spans="3:7" ht="15">
      <c r="C20" s="52" t="s">
        <v>84</v>
      </c>
      <c r="D20" s="49" t="s">
        <v>89</v>
      </c>
      <c r="G20" s="92" t="s">
        <v>155</v>
      </c>
    </row>
    <row r="21" spans="3:7" ht="15">
      <c r="C21" s="50" t="s">
        <v>108</v>
      </c>
      <c r="D21" s="52" t="s">
        <v>145</v>
      </c>
      <c r="G21" s="94" t="s">
        <v>6</v>
      </c>
    </row>
    <row r="22" spans="3:7" ht="15">
      <c r="C22" s="50" t="s">
        <v>85</v>
      </c>
      <c r="D22" s="49" t="s">
        <v>108</v>
      </c>
      <c r="G22" s="92" t="s">
        <v>156</v>
      </c>
    </row>
    <row r="23" spans="4:7" ht="15">
      <c r="D23" s="49" t="s">
        <v>85</v>
      </c>
      <c r="G23" s="94" t="s">
        <v>114</v>
      </c>
    </row>
    <row r="24" spans="4:7" ht="15">
      <c r="D24" s="48" t="s">
        <v>36</v>
      </c>
      <c r="G24" s="92" t="s">
        <v>157</v>
      </c>
    </row>
    <row r="25" ht="15">
      <c r="G25" s="92" t="s">
        <v>158</v>
      </c>
    </row>
    <row r="26" ht="15">
      <c r="G26" s="92" t="s">
        <v>159</v>
      </c>
    </row>
    <row r="27" ht="15">
      <c r="G27" s="92" t="s">
        <v>160</v>
      </c>
    </row>
    <row r="28" ht="15">
      <c r="G28" s="94" t="s">
        <v>115</v>
      </c>
    </row>
    <row r="29" ht="15">
      <c r="G29" s="92" t="s">
        <v>161</v>
      </c>
    </row>
    <row r="30" ht="15">
      <c r="G30" s="94" t="s">
        <v>116</v>
      </c>
    </row>
    <row r="31" ht="15">
      <c r="G31" s="92" t="s">
        <v>162</v>
      </c>
    </row>
    <row r="32" ht="15">
      <c r="G32" s="92" t="s">
        <v>163</v>
      </c>
    </row>
    <row r="33" ht="15">
      <c r="G33" s="94" t="s">
        <v>117</v>
      </c>
    </row>
    <row r="34" ht="15">
      <c r="G34" s="92" t="s">
        <v>164</v>
      </c>
    </row>
    <row r="35" ht="15">
      <c r="G35" s="92" t="s">
        <v>165</v>
      </c>
    </row>
    <row r="36" ht="15">
      <c r="G36" s="92" t="s">
        <v>166</v>
      </c>
    </row>
    <row r="37" ht="15">
      <c r="G37" s="92" t="s">
        <v>167</v>
      </c>
    </row>
    <row r="38" ht="15">
      <c r="G38" s="94" t="s">
        <v>118</v>
      </c>
    </row>
    <row r="39" ht="15">
      <c r="G39" s="94" t="s">
        <v>119</v>
      </c>
    </row>
    <row r="40" ht="15">
      <c r="G40" s="94" t="s">
        <v>120</v>
      </c>
    </row>
    <row r="41" ht="15">
      <c r="G41" s="94" t="s">
        <v>121</v>
      </c>
    </row>
    <row r="42" ht="15">
      <c r="G42" s="92" t="s">
        <v>168</v>
      </c>
    </row>
    <row r="43" ht="15">
      <c r="G43" s="94" t="s">
        <v>122</v>
      </c>
    </row>
    <row r="44" ht="15">
      <c r="G44" s="92" t="s">
        <v>169</v>
      </c>
    </row>
    <row r="45" ht="15">
      <c r="G45" s="93" t="s">
        <v>123</v>
      </c>
    </row>
    <row r="46" ht="15">
      <c r="G46" s="92" t="s">
        <v>170</v>
      </c>
    </row>
    <row r="47" ht="15">
      <c r="G47" s="92" t="s">
        <v>171</v>
      </c>
    </row>
    <row r="48" ht="15">
      <c r="G48" s="92" t="s">
        <v>172</v>
      </c>
    </row>
    <row r="49" ht="15">
      <c r="G49" s="94" t="s">
        <v>124</v>
      </c>
    </row>
    <row r="50" ht="15">
      <c r="G50" s="94" t="s">
        <v>125</v>
      </c>
    </row>
    <row r="51" ht="15">
      <c r="G51" s="94" t="s">
        <v>126</v>
      </c>
    </row>
    <row r="52" ht="15">
      <c r="G52" s="92" t="s">
        <v>173</v>
      </c>
    </row>
    <row r="53" ht="15">
      <c r="G53" s="92" t="s">
        <v>0</v>
      </c>
    </row>
    <row r="54" ht="15">
      <c r="G54" s="92" t="s">
        <v>1</v>
      </c>
    </row>
    <row r="55" ht="15">
      <c r="G55" s="93" t="s">
        <v>127</v>
      </c>
    </row>
    <row r="56" ht="15">
      <c r="G56" s="94" t="s">
        <v>128</v>
      </c>
    </row>
    <row r="57" ht="15">
      <c r="G57" s="92" t="s">
        <v>2</v>
      </c>
    </row>
    <row r="58" ht="15">
      <c r="G58" s="94" t="s">
        <v>129</v>
      </c>
    </row>
    <row r="59" ht="15">
      <c r="G59" s="92" t="s">
        <v>3</v>
      </c>
    </row>
    <row r="60" ht="15">
      <c r="G60" s="92" t="s">
        <v>4</v>
      </c>
    </row>
  </sheetData>
  <sheetProtection sheet="1" objects="1" scenarios="1" formatCells="0" formatColumns="0" formatRows="0" insertColumns="0" insertRows="0" insertHyperlinks="0" pivotTables="0"/>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2014-04-23T15:54:35Z</cp:lastPrinted>
  <dcterms:created xsi:type="dcterms:W3CDTF">2013-06-04T13:01:05Z</dcterms:created>
  <dcterms:modified xsi:type="dcterms:W3CDTF">2016-03-09T03:13:20Z</dcterms:modified>
  <cp:category/>
  <cp:version/>
  <cp:contentType/>
  <cp:contentStatus/>
</cp:coreProperties>
</file>