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2.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10.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1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0" windowWidth="24800" windowHeight="10100" tabRatio="869" activeTab="14"/>
  </bookViews>
  <sheets>
    <sheet name="Definitions" sheetId="1" r:id="rId1"/>
    <sheet name="Budget Summary" sheetId="2" r:id="rId2"/>
    <sheet name="Add Program Component" sheetId="3" r:id="rId3"/>
    <sheet name="YR1 PIVOT" sheetId="4" state="hidden" r:id="rId4"/>
    <sheet name="YR1 actual expenses" sheetId="5" state="hidden" r:id="rId5"/>
    <sheet name="YR2 Pivot by quarters" sheetId="6" state="hidden" r:id="rId6"/>
    <sheet name="YR3 PIVOT" sheetId="7" state="hidden" r:id="rId7"/>
    <sheet name="YR4 PIVOT" sheetId="8" state="hidden" r:id="rId8"/>
    <sheet name="YR5 PIVOT" sheetId="9" state="hidden" r:id="rId9"/>
    <sheet name="Budget YR1 DC" sheetId="10" state="hidden" r:id="rId10"/>
    <sheet name="YR3 Budget &quot;Master&quot;" sheetId="11" r:id="rId11"/>
    <sheet name="HR-Yr3" sheetId="12" r:id="rId12"/>
    <sheet name="TA-Yr3" sheetId="13" r:id="rId13"/>
    <sheet name="P&amp;A-Yr3" sheetId="14" r:id="rId14"/>
    <sheet name="Com-Yr3" sheetId="15" r:id="rId15"/>
    <sheet name="Benef-Yr3" sheetId="16" r:id="rId16"/>
    <sheet name="Training-Yr3" sheetId="17" r:id="rId17"/>
    <sheet name="I&amp;E-Yr3" sheetId="18" r:id="rId18"/>
    <sheet name="Meds-Yr3" sheetId="19" r:id="rId19"/>
    <sheet name="M&amp;E-Yr3" sheetId="20" r:id="rId20"/>
    <sheet name="MDA-Yr3" sheetId="21" r:id="rId21"/>
    <sheet name="Cost share" sheetId="22" r:id="rId22"/>
    <sheet name="YR4 Budget revision 310315" sheetId="23" r:id="rId23"/>
    <sheet name="Budget YR2-4 DC+Hm" sheetId="24" r:id="rId24"/>
    <sheet name="Budget YR5 DC" sheetId="25" r:id="rId25"/>
    <sheet name="Hoja1" sheetId="26" state="hidden" r:id="rId26"/>
  </sheets>
  <externalReferences>
    <externalReference r:id="rId34"/>
    <externalReference r:id="rId35"/>
    <externalReference r:id="rId36"/>
  </externalReferences>
  <definedNames>
    <definedName name="_xlnm._FilterDatabase" localSheetId="9" hidden="1">'Budget YR1 DC'!$A$1:$P$143</definedName>
    <definedName name="_xlnm._FilterDatabase" localSheetId="23" hidden="1">'Budget YR2-4 DC+Hm'!$A$4:$BI$219</definedName>
    <definedName name="_xlnm._FilterDatabase" localSheetId="24" hidden="1">'Budget YR5 DC'!$B$3:$T$101</definedName>
    <definedName name="_xlnm._FilterDatabase" localSheetId="25" hidden="1">'Hoja1'!$A$1:$H$203</definedName>
    <definedName name="Cost_Category">'[1]Definitions'!$G$3:$G$15</definedName>
    <definedName name="Implementing_Entity_Type">'[1]Definitions'!$I$3:$I$9</definedName>
    <definedName name="_xlnm.Print_Area" localSheetId="1">'Budget Summary'!$A$1:$AQ$57</definedName>
  </definedNames>
  <calcPr fullCalcOnLoad="1"/>
  <pivotCaches>
    <pivotCache cacheId="5" r:id="rId27"/>
    <pivotCache cacheId="4" r:id="rId28"/>
    <pivotCache cacheId="8" r:id="rId29"/>
    <pivotCache cacheId="9" r:id="rId30"/>
    <pivotCache cacheId="7" r:id="rId31"/>
  </pivotCaches>
</workbook>
</file>

<file path=xl/sharedStrings.xml><?xml version="1.0" encoding="utf-8"?>
<sst xmlns="http://schemas.openxmlformats.org/spreadsheetml/2006/main" count="7640" uniqueCount="1548">
  <si>
    <t>Other</t>
  </si>
  <si>
    <t xml:space="preserve">No. </t>
  </si>
  <si>
    <t>Year 1</t>
  </si>
  <si>
    <t>Total: Year 1</t>
  </si>
  <si>
    <t>P1</t>
  </si>
  <si>
    <t>P2</t>
  </si>
  <si>
    <t>P3</t>
  </si>
  <si>
    <t>P4</t>
  </si>
  <si>
    <t>Monitoring and Evaluation</t>
  </si>
  <si>
    <t>NTD Macro Category</t>
  </si>
  <si>
    <t>Year 2</t>
  </si>
  <si>
    <t>Total: Year 2</t>
  </si>
  <si>
    <t>Totals Y1 &amp;Y2</t>
  </si>
  <si>
    <t>B. SUMMARY BUDGET BREAKDOWN BY PROGRAM ACTIVITY</t>
  </si>
  <si>
    <t>Implementing Partner:</t>
  </si>
  <si>
    <t>Currency:</t>
  </si>
  <si>
    <t>Period Covered: from</t>
  </si>
  <si>
    <t>Period Covered: to</t>
  </si>
  <si>
    <t>%</t>
  </si>
  <si>
    <t>A. SUMMARY BUDGET BREAKDOWN BY EXPENDITURE CATEGORY</t>
  </si>
  <si>
    <t>P5</t>
  </si>
  <si>
    <t>P6</t>
  </si>
  <si>
    <t>P7</t>
  </si>
  <si>
    <t>P8</t>
  </si>
  <si>
    <t>Category</t>
  </si>
  <si>
    <t>No.</t>
  </si>
  <si>
    <t>Human Resources</t>
  </si>
  <si>
    <t>Technical Assistance</t>
  </si>
  <si>
    <t>Training</t>
  </si>
  <si>
    <t>Health Products and Health Equipment</t>
  </si>
  <si>
    <t>Medicines and Pharmaceutical Products</t>
  </si>
  <si>
    <t>Infrastructure and other Equipment</t>
  </si>
  <si>
    <t>Communications Materials</t>
  </si>
  <si>
    <t>Procurement and Supply Management Costs</t>
  </si>
  <si>
    <t>Planning and Administration</t>
  </si>
  <si>
    <t>Overheads</t>
  </si>
  <si>
    <t>TOTAL</t>
  </si>
  <si>
    <t>Total Y3</t>
  </si>
  <si>
    <t>Total Y4</t>
  </si>
  <si>
    <t>Total Y5</t>
  </si>
  <si>
    <t>5 Year Total</t>
  </si>
  <si>
    <t>USD dollars</t>
  </si>
  <si>
    <t>Output Indicator</t>
  </si>
  <si>
    <t>Capacity Building</t>
  </si>
  <si>
    <t>Support to Health Facilities</t>
  </si>
  <si>
    <t>Mapping</t>
  </si>
  <si>
    <t>Assessments and Surveys</t>
  </si>
  <si>
    <t>Sentinel Site Surveillance</t>
  </si>
  <si>
    <t>Training and Workshops</t>
  </si>
  <si>
    <t xml:space="preserve">Surgeries </t>
  </si>
  <si>
    <t>Implementing Partner</t>
  </si>
  <si>
    <t>Country:</t>
  </si>
  <si>
    <t>Sub-Grantee</t>
  </si>
  <si>
    <t>Name of the organization or entity</t>
  </si>
  <si>
    <t>Type of Implementer</t>
  </si>
  <si>
    <t>Morbidity Management</t>
  </si>
  <si>
    <t>Grant No.</t>
  </si>
  <si>
    <t>Living or other Support to Beneficiary Population(s)</t>
  </si>
  <si>
    <t>Supervision</t>
  </si>
  <si>
    <t>Program Management and Administration</t>
  </si>
  <si>
    <t>ANNEX C: SUMMARY BUDGET</t>
  </si>
  <si>
    <t>C. SUMMARY BUDGET BREAKDOWN BY IMPLEMENTING PARTNER</t>
  </si>
  <si>
    <t>Angola</t>
  </si>
  <si>
    <t>The MENTOR Initative</t>
  </si>
  <si>
    <t>The MENTOR Initiative</t>
  </si>
  <si>
    <t>Definitions:</t>
  </si>
  <si>
    <t>Salaries, wages, and related costs (pensions, incentives, supplements, top ups, and other employee benefits, etc. relating to all employees (including field personnel), and recruitment costs.</t>
  </si>
  <si>
    <t>Costs of all consultants (short or long term) providing technical or management assistance. This includes all costs related to the consultant such as fees, travel, per diems, field visits and other consultant cost relating to program planning, etc.</t>
  </si>
  <si>
    <t>Workshops, meetings, training publications, training related travel, including training per diems. Do not include human resource costs related to training which should be under Human Resource costs.</t>
  </si>
  <si>
    <t>Health products such as diagnostic materials, reagents, test kits, kato-katzs, etc. Health equipment such as microsopes, etc.</t>
  </si>
  <si>
    <t>Costs of all medicines, whether for mapping or mass drug administration or health center distributions. Do not include insurance, transportation, storage or distribution, costs</t>
  </si>
  <si>
    <t>Transportation costs; fees, storage, insurance, handling, etc. procurement agent fees and cost of quality assurance of all medical related equipment, medicines, etc.</t>
  </si>
  <si>
    <t>This includes health infrastructure rehabilitation, renovations, or enhancement costs; all non health equipment such as geneators, information technology, software, office equipment, furnishing, audio visual equipment, etc. Vehicles and motorbikes are included here.</t>
  </si>
  <si>
    <t>Printed material and communications costs associated with program related outcomes, TV spots, radio programs, advertising, media events, education materials, promotional items, etc.</t>
  </si>
  <si>
    <t>Anything to do with data collection, surveys, research, analysis, field supervision visits, and other costs associated with monitoring and evaluation. May include IT solutions and systems but not human resources.</t>
  </si>
  <si>
    <t xml:space="preserve">Monetary or in kind support given to beneficiaries of the programs, such as transport allowances, food or care to patients; housing, or school feeding programs, etc. </t>
  </si>
  <si>
    <t>Office supplies, travel, field visits, and other related costs to program planning and administration inlcuding management of sub-grantees, legal fees, accounting, bank charges, etc.</t>
  </si>
  <si>
    <t>Overhead costs such as office rents, utilities, security, telephone, etc. insurances, fuel, plus management of overhead indirect costs.</t>
  </si>
  <si>
    <t>Significant cost that does not fit into the above; please specify.</t>
  </si>
  <si>
    <t>Sum of Total Project Cost</t>
  </si>
  <si>
    <t>Grand Total</t>
  </si>
  <si>
    <t>Entry</t>
  </si>
  <si>
    <t>Activity</t>
  </si>
  <si>
    <t>Unit Quantity</t>
  </si>
  <si>
    <t>Unit Cost</t>
  </si>
  <si>
    <t>Frequency</t>
  </si>
  <si>
    <t>Total Project Cost</t>
  </si>
  <si>
    <t>12AD</t>
  </si>
  <si>
    <t>12.30</t>
  </si>
  <si>
    <t>Vehicle rent (3 cars)</t>
  </si>
  <si>
    <t>Month</t>
  </si>
  <si>
    <t>12AB</t>
  </si>
  <si>
    <t>12.28</t>
  </si>
  <si>
    <t>Office supplies, printing &amp; copying</t>
  </si>
  <si>
    <t>12V</t>
  </si>
  <si>
    <t>12.22</t>
  </si>
  <si>
    <t>Mapping Stationary</t>
  </si>
  <si>
    <t>Lumpsum</t>
  </si>
  <si>
    <t>11E</t>
  </si>
  <si>
    <t>11.5.</t>
  </si>
  <si>
    <t>Stakeholder meeting costs - HBO &amp; LDA</t>
  </si>
  <si>
    <t>11B</t>
  </si>
  <si>
    <t>11.2.</t>
  </si>
  <si>
    <t>Audit fees</t>
  </si>
  <si>
    <t>11A</t>
  </si>
  <si>
    <t>11.1.</t>
  </si>
  <si>
    <t>Bank charges</t>
  </si>
  <si>
    <t>10I</t>
  </si>
  <si>
    <t>10.9.</t>
  </si>
  <si>
    <t>Staff accommodation: rent, per diems travel - Zaire</t>
  </si>
  <si>
    <t>10H</t>
  </si>
  <si>
    <t>10.8.</t>
  </si>
  <si>
    <t>Staff accommodation: rent, per diems travel - Uige</t>
  </si>
  <si>
    <t>10G</t>
  </si>
  <si>
    <t>10.7.</t>
  </si>
  <si>
    <t>Staff accommodation: rent, per diems travel - Huambo</t>
  </si>
  <si>
    <t>7N</t>
  </si>
  <si>
    <t>7.14.</t>
  </si>
  <si>
    <t>Office running costs (utilities&amp;maintenace) - Zaire</t>
  </si>
  <si>
    <t>7H</t>
  </si>
  <si>
    <t>7.8.</t>
  </si>
  <si>
    <t>Office running costs (fourniture....) Uige</t>
  </si>
  <si>
    <t>7B</t>
  </si>
  <si>
    <t>7.2.</t>
  </si>
  <si>
    <t>Office running costs (utilities and maintenance) - Huambo</t>
  </si>
  <si>
    <t>USD</t>
  </si>
  <si>
    <t xml:space="preserve"> BdgLine</t>
  </si>
  <si>
    <t>A. Component 1: HUMAN RESOURCES</t>
  </si>
  <si>
    <t>1A</t>
  </si>
  <si>
    <t>1.1.</t>
  </si>
  <si>
    <t>Programme Coordinator 100%</t>
  </si>
  <si>
    <t>1B</t>
  </si>
  <si>
    <t>1.2.</t>
  </si>
  <si>
    <t>Country Director 25%</t>
  </si>
  <si>
    <t>1C</t>
  </si>
  <si>
    <t>1.3.</t>
  </si>
  <si>
    <t>Finance/Admin Coordinator 25%</t>
  </si>
  <si>
    <t>1D</t>
  </si>
  <si>
    <t>1.4.</t>
  </si>
  <si>
    <t>Project Manager HUAMBO</t>
  </si>
  <si>
    <t>1E</t>
  </si>
  <si>
    <t>1.5.</t>
  </si>
  <si>
    <t>Project Manager UIGE</t>
  </si>
  <si>
    <t>1F</t>
  </si>
  <si>
    <t>1.6.</t>
  </si>
  <si>
    <t>Project Manager ZAIRE</t>
  </si>
  <si>
    <t>1G</t>
  </si>
  <si>
    <t>1.7.</t>
  </si>
  <si>
    <t>Drivers (2@500) UIGE</t>
  </si>
  <si>
    <t>1H</t>
  </si>
  <si>
    <t>1.8.</t>
  </si>
  <si>
    <t>Driver (1@500) ZAIRE</t>
  </si>
  <si>
    <t>1I</t>
  </si>
  <si>
    <t>1.9.</t>
  </si>
  <si>
    <t>Payroll taxes &amp; social security (INSS)</t>
  </si>
  <si>
    <t>1J</t>
  </si>
  <si>
    <t>1.10.</t>
  </si>
  <si>
    <t>Personnel benefits - Christmas bonus</t>
  </si>
  <si>
    <t>1K</t>
  </si>
  <si>
    <t>1.11.</t>
  </si>
  <si>
    <t>Personnel benefits - Holiday Bonus</t>
  </si>
  <si>
    <t>1L</t>
  </si>
  <si>
    <t>1.12.</t>
  </si>
  <si>
    <t>Personal benefits - Severance National staff</t>
  </si>
  <si>
    <t>1M</t>
  </si>
  <si>
    <t>1.13.</t>
  </si>
  <si>
    <t>Personal benefits - Staff insurance</t>
  </si>
  <si>
    <t>2A</t>
  </si>
  <si>
    <t>2.1.</t>
  </si>
  <si>
    <t>NTD Specialist Support</t>
  </si>
  <si>
    <t>2B</t>
  </si>
  <si>
    <t>2.2.</t>
  </si>
  <si>
    <t>Programme/Grant Support</t>
  </si>
  <si>
    <t>2C</t>
  </si>
  <si>
    <t>2.3.</t>
  </si>
  <si>
    <t>Admin/Log Support</t>
  </si>
  <si>
    <t>2D</t>
  </si>
  <si>
    <t>2.4.</t>
  </si>
  <si>
    <t>International and local Flights (for technical support visit )</t>
  </si>
  <si>
    <t>Unit</t>
  </si>
  <si>
    <t>2E</t>
  </si>
  <si>
    <t>2.5.</t>
  </si>
  <si>
    <t>ICLA for technical support visit</t>
  </si>
  <si>
    <t>days</t>
  </si>
  <si>
    <t>2F</t>
  </si>
  <si>
    <t>2.6.</t>
  </si>
  <si>
    <t>Accomodation (hotel in Luanda, etc)</t>
  </si>
  <si>
    <t>3A</t>
  </si>
  <si>
    <t>3.1.</t>
  </si>
  <si>
    <t>Vehicle Rent (1 vehicles @3200/month)</t>
  </si>
  <si>
    <t>3B</t>
  </si>
  <si>
    <t>3.2.</t>
  </si>
  <si>
    <t>Vehicle insurance and taxes</t>
  </si>
  <si>
    <t>3C</t>
  </si>
  <si>
    <t>3.3.</t>
  </si>
  <si>
    <t>Vehicle maintenance, spare parts and repair (1 vehicle)</t>
  </si>
  <si>
    <t>3D</t>
  </si>
  <si>
    <t>3.4.</t>
  </si>
  <si>
    <t>Accomodation/Travel for Training (50 HFs Zaire, 60 Uige, 140 HBO,100 Bié)</t>
  </si>
  <si>
    <t>3E</t>
  </si>
  <si>
    <t>3.5.</t>
  </si>
  <si>
    <t>Technical Supervisor -Training HUAMBO</t>
  </si>
  <si>
    <t>3F</t>
  </si>
  <si>
    <t>3.6.</t>
  </si>
  <si>
    <t>Driver for training-HUAMBO</t>
  </si>
  <si>
    <t>3G</t>
  </si>
  <si>
    <t>3.7.</t>
  </si>
  <si>
    <t>Vehicle Fuel (1 vehicle)</t>
  </si>
  <si>
    <t>3H</t>
  </si>
  <si>
    <t>3.8.</t>
  </si>
  <si>
    <t>Training logistics costs (paper, pens, slideshow, etc)</t>
  </si>
  <si>
    <t>3I</t>
  </si>
  <si>
    <t>3.9.</t>
  </si>
  <si>
    <t>Training room rental</t>
  </si>
  <si>
    <t>3J</t>
  </si>
  <si>
    <t>3.10.</t>
  </si>
  <si>
    <t>Accomodation/Travel for Partners Huambo province</t>
  </si>
  <si>
    <t>3K</t>
  </si>
  <si>
    <t>3.11.</t>
  </si>
  <si>
    <t>3L</t>
  </si>
  <si>
    <t>3.12.</t>
  </si>
  <si>
    <t>Accomodation/Travel for training (HF Uige)</t>
  </si>
  <si>
    <t>3M</t>
  </si>
  <si>
    <t>3.13.</t>
  </si>
  <si>
    <t>Technical Supervisor-Uige</t>
  </si>
  <si>
    <t>3N</t>
  </si>
  <si>
    <t>3.14.</t>
  </si>
  <si>
    <t>Training logistics costs (paper, pens, ...)</t>
  </si>
  <si>
    <t>3O</t>
  </si>
  <si>
    <t>3.15.</t>
  </si>
  <si>
    <t>3P</t>
  </si>
  <si>
    <t>3.16.</t>
  </si>
  <si>
    <t>Accomodation/Travel for Partners (HF Uige)</t>
  </si>
  <si>
    <t>3Q</t>
  </si>
  <si>
    <t>3.17.</t>
  </si>
  <si>
    <t>Vehicle maintenance, spare parts and repair</t>
  </si>
  <si>
    <t>3R</t>
  </si>
  <si>
    <t>3.18.</t>
  </si>
  <si>
    <t>Accomodation/Travel fro Training (50HF Zaire)</t>
  </si>
  <si>
    <t>3S</t>
  </si>
  <si>
    <t>3.20.</t>
  </si>
  <si>
    <t>Technical Supervisor-Zaire</t>
  </si>
  <si>
    <t>3T</t>
  </si>
  <si>
    <t>3.21.</t>
  </si>
  <si>
    <t>Training Logistics costs (paper, pens, ...)</t>
  </si>
  <si>
    <t>3U</t>
  </si>
  <si>
    <t>3.22.</t>
  </si>
  <si>
    <t>Training room rental Zaire</t>
  </si>
  <si>
    <t>3V</t>
  </si>
  <si>
    <t>3.23.</t>
  </si>
  <si>
    <t>Accomodation/Travel fro Partners (HF Zaire)</t>
  </si>
  <si>
    <t>6A</t>
  </si>
  <si>
    <t>6.1.</t>
  </si>
  <si>
    <t>Local transport -  Huambo</t>
  </si>
  <si>
    <t>6B</t>
  </si>
  <si>
    <t>6.2.</t>
  </si>
  <si>
    <t>Warehouse rent and maintenance</t>
  </si>
  <si>
    <t>6C</t>
  </si>
  <si>
    <t>6.3.</t>
  </si>
  <si>
    <t>Vehicle Rent (1 vehicle @3200 a month)</t>
  </si>
  <si>
    <t>6D</t>
  </si>
  <si>
    <t>6.4.</t>
  </si>
  <si>
    <t>Local Freight (drugs, supplies) Huambo</t>
  </si>
  <si>
    <t>6E</t>
  </si>
  <si>
    <t>6.5.</t>
  </si>
  <si>
    <t>Local transport Uige</t>
  </si>
  <si>
    <t>6F</t>
  </si>
  <si>
    <t>6.6.</t>
  </si>
  <si>
    <t>Warehouse rent and maintenance-Uige</t>
  </si>
  <si>
    <t>6G</t>
  </si>
  <si>
    <t>6.7.</t>
  </si>
  <si>
    <t>Logistic assitant (drugs and supplies) - Uige</t>
  </si>
  <si>
    <t>6H</t>
  </si>
  <si>
    <t>6.8.</t>
  </si>
  <si>
    <t>Local Freight (drugs, supplies, ...) Uige</t>
  </si>
  <si>
    <t>6I</t>
  </si>
  <si>
    <t>6.9.</t>
  </si>
  <si>
    <t>Local transport-Zaire</t>
  </si>
  <si>
    <t>6J</t>
  </si>
  <si>
    <t>6.10.</t>
  </si>
  <si>
    <t>Warehouse rent and maintenance-Zaire</t>
  </si>
  <si>
    <t>6K</t>
  </si>
  <si>
    <t>6.11.</t>
  </si>
  <si>
    <t>Local freight (drugs, supplies) - Zaire</t>
  </si>
  <si>
    <t>7A</t>
  </si>
  <si>
    <t>7.1.</t>
  </si>
  <si>
    <t>Office rent Huambo 25%</t>
  </si>
  <si>
    <t>7C</t>
  </si>
  <si>
    <t>7.3.</t>
  </si>
  <si>
    <t>Communication equipment - Huambo</t>
  </si>
  <si>
    <t>7D</t>
  </si>
  <si>
    <t>7.4.</t>
  </si>
  <si>
    <t>Communications running costs (telephone, sat phone, internet, courrier) - Huambo</t>
  </si>
  <si>
    <t>7E</t>
  </si>
  <si>
    <t>7.5.</t>
  </si>
  <si>
    <t>Computers, software, accessories, licences &amp; maintenance - Huambo</t>
  </si>
  <si>
    <t>7F</t>
  </si>
  <si>
    <t>7.6.</t>
  </si>
  <si>
    <t>Generator purchase - Huambo</t>
  </si>
  <si>
    <t>7G</t>
  </si>
  <si>
    <t>7.7.</t>
  </si>
  <si>
    <t>Generator fuel - Huambo</t>
  </si>
  <si>
    <t>7I</t>
  </si>
  <si>
    <t>7.9.</t>
  </si>
  <si>
    <t>Communication equipment - Uige</t>
  </si>
  <si>
    <t>7J</t>
  </si>
  <si>
    <t>7.10.</t>
  </si>
  <si>
    <t>Communications running costs (telephone, sat phone, internet, courrier) - Uige</t>
  </si>
  <si>
    <t>7K</t>
  </si>
  <si>
    <t>7.11.</t>
  </si>
  <si>
    <t>Computers, software, accessories, licences &amp; maintenance - Uige</t>
  </si>
  <si>
    <t>7L</t>
  </si>
  <si>
    <t>7.12.</t>
  </si>
  <si>
    <t>Generator purchase - Uige</t>
  </si>
  <si>
    <t>7M</t>
  </si>
  <si>
    <t>7.13.</t>
  </si>
  <si>
    <t>Generator fuel - Uige</t>
  </si>
  <si>
    <t>7O</t>
  </si>
  <si>
    <t>7.15.</t>
  </si>
  <si>
    <t>Communication equipment - ZAIRE</t>
  </si>
  <si>
    <t>7P</t>
  </si>
  <si>
    <t>7.16.</t>
  </si>
  <si>
    <t>Communications runnings costs - ZAIRE</t>
  </si>
  <si>
    <t>7Q</t>
  </si>
  <si>
    <t>7.17.</t>
  </si>
  <si>
    <t>Computers, software, accesories licences - ZAIRE</t>
  </si>
  <si>
    <t>7R</t>
  </si>
  <si>
    <t>7.18.</t>
  </si>
  <si>
    <t>Generator fuel</t>
  </si>
  <si>
    <t>8A</t>
  </si>
  <si>
    <t>8.1.</t>
  </si>
  <si>
    <t>Visibility supplies (posters, pamphlets, shirts)</t>
  </si>
  <si>
    <t>8B</t>
  </si>
  <si>
    <t>8.2.</t>
  </si>
  <si>
    <t>Office supplies, printing &amp; copying - Huambo</t>
  </si>
  <si>
    <t>8C</t>
  </si>
  <si>
    <t>8.3.</t>
  </si>
  <si>
    <t>Office supplies, printing&amp;copying - Uige</t>
  </si>
  <si>
    <t>8D</t>
  </si>
  <si>
    <t>8.4.</t>
  </si>
  <si>
    <t>Office supplies, printing &amp; copying - Zaire</t>
  </si>
  <si>
    <t>9A</t>
  </si>
  <si>
    <t>9.1.</t>
  </si>
  <si>
    <t>Technical Supervisors - MDA Huambo</t>
  </si>
  <si>
    <t>9B</t>
  </si>
  <si>
    <t>9.2.</t>
  </si>
  <si>
    <t>Finance and Admin National Coor (25%)</t>
  </si>
  <si>
    <t>9C</t>
  </si>
  <si>
    <t>9.3.</t>
  </si>
  <si>
    <t>National flights - Provincial travel</t>
  </si>
  <si>
    <t>Flights</t>
  </si>
  <si>
    <t>9D</t>
  </si>
  <si>
    <t>9.4.</t>
  </si>
  <si>
    <t>Vehicle rent - ZAIRE</t>
  </si>
  <si>
    <t>9E</t>
  </si>
  <si>
    <t>9.5.</t>
  </si>
  <si>
    <t>M&amp;E Supplies (data software, ledger books, supplies)</t>
  </si>
  <si>
    <t>9F</t>
  </si>
  <si>
    <t>9.6.</t>
  </si>
  <si>
    <t>International flights</t>
  </si>
  <si>
    <t>9G</t>
  </si>
  <si>
    <t>9.7.</t>
  </si>
  <si>
    <t>Technical supervisors - MDA Uige</t>
  </si>
  <si>
    <t>9H</t>
  </si>
  <si>
    <t>9.8.</t>
  </si>
  <si>
    <t>National flights - Provincial travel Uige</t>
  </si>
  <si>
    <t>9I</t>
  </si>
  <si>
    <t>9.9.</t>
  </si>
  <si>
    <t>M&amp;E supplies (data software, ledger books) - Uige</t>
  </si>
  <si>
    <t>9J</t>
  </si>
  <si>
    <t>9.10.</t>
  </si>
  <si>
    <t>Technical Supervisors - MDA Zaire</t>
  </si>
  <si>
    <t>9K</t>
  </si>
  <si>
    <t>9.11.</t>
  </si>
  <si>
    <t>National flights - Provincial travel Zaire</t>
  </si>
  <si>
    <t>9L</t>
  </si>
  <si>
    <t>9.12.</t>
  </si>
  <si>
    <t>Vehicle fuel (1 vehicles) - Zaire</t>
  </si>
  <si>
    <t>9M</t>
  </si>
  <si>
    <t>9.13.</t>
  </si>
  <si>
    <t>M&amp;E supplies (data software, ledger books)... - Zaire</t>
  </si>
  <si>
    <t>10A</t>
  </si>
  <si>
    <t>10.1.</t>
  </si>
  <si>
    <t>In Country Living Allowance (ICLA) PC+CD+ADMIN</t>
  </si>
  <si>
    <t>Days</t>
  </si>
  <si>
    <t>10B</t>
  </si>
  <si>
    <t>10.2.</t>
  </si>
  <si>
    <t>International Per Diem</t>
  </si>
  <si>
    <t>10C</t>
  </si>
  <si>
    <t>10.3.</t>
  </si>
  <si>
    <t>Medical insurance</t>
  </si>
  <si>
    <t>10D</t>
  </si>
  <si>
    <t>10.4.</t>
  </si>
  <si>
    <t>Visas / work permits</t>
  </si>
  <si>
    <t>Expats</t>
  </si>
  <si>
    <t>10E</t>
  </si>
  <si>
    <t>10.5.</t>
  </si>
  <si>
    <t>Relocation Allowance</t>
  </si>
  <si>
    <t>10F</t>
  </si>
  <si>
    <t>10.6.</t>
  </si>
  <si>
    <t>Vaccinations and malaria prophylaxis</t>
  </si>
  <si>
    <t>11C</t>
  </si>
  <si>
    <t>11.3.</t>
  </si>
  <si>
    <t>Vehicle insurance and taxes (1 vehicle HBO)</t>
  </si>
  <si>
    <t>11D</t>
  </si>
  <si>
    <t>11.4.</t>
  </si>
  <si>
    <t>Vehicle maintenance (3 vehicles)</t>
  </si>
  <si>
    <t>11F</t>
  </si>
  <si>
    <t>11.6.</t>
  </si>
  <si>
    <t>Bank charges - Uige</t>
  </si>
  <si>
    <t>11G</t>
  </si>
  <si>
    <t>11.7.</t>
  </si>
  <si>
    <t>Bank charges - Zaire</t>
  </si>
  <si>
    <t>11H</t>
  </si>
  <si>
    <t>11.8.</t>
  </si>
  <si>
    <t>NTD meetings and training costs - Uige</t>
  </si>
  <si>
    <t>11J</t>
  </si>
  <si>
    <t>11.9.</t>
  </si>
  <si>
    <t>NTD meetings and training costs - ZAIRE</t>
  </si>
  <si>
    <t>12A</t>
  </si>
  <si>
    <t>Monitoring, Evaluation &amp;Reporting officer</t>
  </si>
  <si>
    <t>12B</t>
  </si>
  <si>
    <t>Logistician (drugs and supplies)</t>
  </si>
  <si>
    <t>12C</t>
  </si>
  <si>
    <t>Perdiem National NTD Coordinator (mapping in the field)</t>
  </si>
  <si>
    <t>12D</t>
  </si>
  <si>
    <t>Perdierm  National Lab Coordinator (mapping in the field)</t>
  </si>
  <si>
    <t>12E</t>
  </si>
  <si>
    <t>Per diem Provincial Lab Coordiantor HBO</t>
  </si>
  <si>
    <t>12F</t>
  </si>
  <si>
    <t>Per diem Provincial Lab Coordinator - Uige</t>
  </si>
  <si>
    <t>12G</t>
  </si>
  <si>
    <t>Per diem Provincial Lab Coordinator Zaire</t>
  </si>
  <si>
    <t>12H</t>
  </si>
  <si>
    <t>Per Diem Lab Techinician HF HBO</t>
  </si>
  <si>
    <t>12I</t>
  </si>
  <si>
    <t>Per Diem Lab Technicians HF - UIGE</t>
  </si>
  <si>
    <t>12J</t>
  </si>
  <si>
    <t>12.10</t>
  </si>
  <si>
    <t>Per Diem Lab Technicians HF - ZAIRE</t>
  </si>
  <si>
    <t>12K</t>
  </si>
  <si>
    <t>12.11</t>
  </si>
  <si>
    <t>4 Drviers for mapping</t>
  </si>
  <si>
    <t>12L</t>
  </si>
  <si>
    <t>12.12</t>
  </si>
  <si>
    <t>Payroll taxes &amp; social security</t>
  </si>
  <si>
    <t>12M</t>
  </si>
  <si>
    <t>12.13</t>
  </si>
  <si>
    <t>Personnel benefits - Staff insurance</t>
  </si>
  <si>
    <t>12N</t>
  </si>
  <si>
    <t>12.14</t>
  </si>
  <si>
    <t>NTD specialist support</t>
  </si>
  <si>
    <t>12O</t>
  </si>
  <si>
    <t>12.15</t>
  </si>
  <si>
    <t>International and Local freight (for technical support vist)</t>
  </si>
  <si>
    <t>12P</t>
  </si>
  <si>
    <t>12.16</t>
  </si>
  <si>
    <t>12Q</t>
  </si>
  <si>
    <t>12.17</t>
  </si>
  <si>
    <t>Vehicle maintenance spare partrs and repair</t>
  </si>
  <si>
    <t>12R</t>
  </si>
  <si>
    <t>12.18</t>
  </si>
  <si>
    <t>Accomodation for training in Luanda</t>
  </si>
  <si>
    <t>person</t>
  </si>
  <si>
    <t>12S</t>
  </si>
  <si>
    <t>12.19</t>
  </si>
  <si>
    <t>Travel for the mapping training</t>
  </si>
  <si>
    <t>12T</t>
  </si>
  <si>
    <t>12.20</t>
  </si>
  <si>
    <t>Mapping Equipment and Drugs</t>
  </si>
  <si>
    <t>12U</t>
  </si>
  <si>
    <t>12.21</t>
  </si>
  <si>
    <t>International freight, insrance &amp; clearance</t>
  </si>
  <si>
    <t>12W</t>
  </si>
  <si>
    <t>12.23</t>
  </si>
  <si>
    <t>Local freight (drugs &amp;supplies)</t>
  </si>
  <si>
    <t>12X</t>
  </si>
  <si>
    <t>12.24</t>
  </si>
  <si>
    <t>Communication equipment</t>
  </si>
  <si>
    <t>12Y</t>
  </si>
  <si>
    <t>12.25</t>
  </si>
  <si>
    <t>Communications running costs (telep, sat phone, internet...)</t>
  </si>
  <si>
    <t>12Z</t>
  </si>
  <si>
    <t>12.26</t>
  </si>
  <si>
    <t>Computers, software, licence, ...</t>
  </si>
  <si>
    <t>12AA</t>
  </si>
  <si>
    <t>12.27</t>
  </si>
  <si>
    <t>Visibility supplies for the mapping (posters, t-shirts...)</t>
  </si>
  <si>
    <t>12AC</t>
  </si>
  <si>
    <t>12.29</t>
  </si>
  <si>
    <t>12AE</t>
  </si>
  <si>
    <t>12.31</t>
  </si>
  <si>
    <t>12AF</t>
  </si>
  <si>
    <t>12.32</t>
  </si>
  <si>
    <t>12AG</t>
  </si>
  <si>
    <t>12.33</t>
  </si>
  <si>
    <t>Accomodation for mapping teams</t>
  </si>
  <si>
    <t>12AH</t>
  </si>
  <si>
    <t>12.34</t>
  </si>
  <si>
    <t>Food for mapping teams (20 pax, 50 days)</t>
  </si>
  <si>
    <t>Indirect Costs</t>
  </si>
  <si>
    <t>Percent</t>
  </si>
  <si>
    <t>Category of expenses</t>
  </si>
  <si>
    <t>x</t>
  </si>
  <si>
    <t>Year 3</t>
  </si>
  <si>
    <t>Quantity</t>
  </si>
  <si>
    <t>Total unit cost</t>
  </si>
  <si>
    <t>Total cost YEAR 1</t>
  </si>
  <si>
    <t>Total cost YEAR 2</t>
  </si>
  <si>
    <t>Total cost YEAR 3</t>
  </si>
  <si>
    <t>TOTAL PROJECT COST</t>
  </si>
  <si>
    <t>Comments</t>
  </si>
  <si>
    <t>Objective</t>
  </si>
  <si>
    <t>Outcome</t>
  </si>
  <si>
    <t>Output</t>
  </si>
  <si>
    <t>Province</t>
  </si>
  <si>
    <r>
      <t>Programme Coordinators 100%</t>
    </r>
    <r>
      <rPr>
        <b/>
        <sz val="8"/>
        <color indexed="8"/>
        <rFont val="Calibri"/>
        <family val="2"/>
      </rPr>
      <t xml:space="preserve"> - Huambo</t>
    </r>
  </si>
  <si>
    <t>1 x Programme coordinator for each province</t>
  </si>
  <si>
    <t>1,2,3,4</t>
  </si>
  <si>
    <t>ALL</t>
  </si>
  <si>
    <t>OpSupport</t>
  </si>
  <si>
    <t>Personnel</t>
  </si>
  <si>
    <t>Huambo</t>
  </si>
  <si>
    <r>
      <t>Programme Coordinators 100%</t>
    </r>
    <r>
      <rPr>
        <b/>
        <sz val="8"/>
        <color indexed="8"/>
        <rFont val="Calibri"/>
        <family val="2"/>
      </rPr>
      <t xml:space="preserve"> - Uige</t>
    </r>
  </si>
  <si>
    <t>Uige</t>
  </si>
  <si>
    <r>
      <t xml:space="preserve">Programme Coordinators 100% </t>
    </r>
    <r>
      <rPr>
        <b/>
        <sz val="8"/>
        <color indexed="8"/>
        <rFont val="Calibri"/>
        <family val="2"/>
      </rPr>
      <t>- Zaire</t>
    </r>
  </si>
  <si>
    <t>Zaire</t>
  </si>
  <si>
    <t xml:space="preserve">Contribution to CD salary </t>
  </si>
  <si>
    <t>Finance and Admin Coordinator-25%</t>
  </si>
  <si>
    <t xml:space="preserve">Contribution to Admin-Fin coordinator salary </t>
  </si>
  <si>
    <t>Finance and Admin National Coordinator-25%</t>
  </si>
  <si>
    <t>Finance Coordinator deputy's salary</t>
  </si>
  <si>
    <t>Senior Logistic Coordinator</t>
  </si>
  <si>
    <r>
      <t xml:space="preserve">Program Coordinator-WASH - </t>
    </r>
    <r>
      <rPr>
        <b/>
        <sz val="8"/>
        <color indexed="8"/>
        <rFont val="Calibri"/>
        <family val="2"/>
      </rPr>
      <t>Huambo</t>
    </r>
  </si>
  <si>
    <t>Senior Field staff  (Supervisions/WASH oriented Coordinator) for the three provinces</t>
  </si>
  <si>
    <t>4.1.</t>
  </si>
  <si>
    <t>WASHE</t>
  </si>
  <si>
    <r>
      <t xml:space="preserve">Program Coordinator-WASH - </t>
    </r>
    <r>
      <rPr>
        <b/>
        <sz val="8"/>
        <color indexed="8"/>
        <rFont val="Calibri"/>
        <family val="2"/>
      </rPr>
      <t>Uige</t>
    </r>
  </si>
  <si>
    <r>
      <t xml:space="preserve">Program Coordinator-WASH - </t>
    </r>
    <r>
      <rPr>
        <b/>
        <sz val="8"/>
        <color indexed="8"/>
        <rFont val="Calibri"/>
        <family val="2"/>
      </rPr>
      <t>Zaire</t>
    </r>
  </si>
  <si>
    <r>
      <t xml:space="preserve">Monitoring, Evaluation &amp; Reporting Officer - </t>
    </r>
    <r>
      <rPr>
        <b/>
        <sz val="8"/>
        <color indexed="8"/>
        <rFont val="Calibri"/>
        <family val="2"/>
      </rPr>
      <t>Huambo</t>
    </r>
  </si>
  <si>
    <t>M&amp;E</t>
  </si>
  <si>
    <r>
      <t xml:space="preserve">Monitoring, Evaluation &amp; Reporting Officer - </t>
    </r>
    <r>
      <rPr>
        <b/>
        <sz val="8"/>
        <color indexed="8"/>
        <rFont val="Calibri"/>
        <family val="2"/>
      </rPr>
      <t>Uige</t>
    </r>
  </si>
  <si>
    <r>
      <t xml:space="preserve">Monitoring, Evaluation &amp; Reporting Officer - </t>
    </r>
    <r>
      <rPr>
        <b/>
        <sz val="8"/>
        <color indexed="8"/>
        <rFont val="Calibri"/>
        <family val="2"/>
      </rPr>
      <t>Zaire</t>
    </r>
  </si>
  <si>
    <r>
      <t>Project Manager</t>
    </r>
    <r>
      <rPr>
        <b/>
        <sz val="8"/>
        <color indexed="8"/>
        <rFont val="Calibri"/>
        <family val="2"/>
      </rPr>
      <t xml:space="preserve"> - Huambo</t>
    </r>
  </si>
  <si>
    <t xml:space="preserve">Includes salary expenses for the PC's deputy (national staff) </t>
  </si>
  <si>
    <t>1,2,3,</t>
  </si>
  <si>
    <t>MDA</t>
  </si>
  <si>
    <r>
      <t xml:space="preserve">Project Manager - </t>
    </r>
    <r>
      <rPr>
        <b/>
        <sz val="8"/>
        <color indexed="8"/>
        <rFont val="Calibri"/>
        <family val="2"/>
      </rPr>
      <t>Uige</t>
    </r>
  </si>
  <si>
    <r>
      <t xml:space="preserve">Project Manager - </t>
    </r>
    <r>
      <rPr>
        <b/>
        <sz val="8"/>
        <color indexed="8"/>
        <rFont val="Calibri"/>
        <family val="2"/>
      </rPr>
      <t>Zaire</t>
    </r>
  </si>
  <si>
    <r>
      <t xml:space="preserve">Data Base clerk </t>
    </r>
    <r>
      <rPr>
        <b/>
        <sz val="8"/>
        <color indexed="8"/>
        <rFont val="Calibri"/>
        <family val="2"/>
      </rPr>
      <t>- All provincies</t>
    </r>
  </si>
  <si>
    <t>All provincies</t>
  </si>
  <si>
    <r>
      <t>Payroll taxes &amp; social security (INSS)</t>
    </r>
    <r>
      <rPr>
        <b/>
        <sz val="8"/>
        <color indexed="8"/>
        <rFont val="Calibri"/>
        <family val="2"/>
      </rPr>
      <t xml:space="preserve"> - Huambo</t>
    </r>
  </si>
  <si>
    <t>State obligations</t>
  </si>
  <si>
    <r>
      <t xml:space="preserve">Payroll taxes &amp; social security (INSS) </t>
    </r>
    <r>
      <rPr>
        <b/>
        <sz val="8"/>
        <color indexed="8"/>
        <rFont val="Calibri"/>
        <family val="2"/>
      </rPr>
      <t>- Uige</t>
    </r>
  </si>
  <si>
    <r>
      <t xml:space="preserve">Payroll taxes &amp; social security (INSS) </t>
    </r>
    <r>
      <rPr>
        <b/>
        <sz val="8"/>
        <color indexed="8"/>
        <rFont val="Calibri"/>
        <family val="2"/>
      </rPr>
      <t>- Zaire</t>
    </r>
  </si>
  <si>
    <r>
      <t xml:space="preserve">Personnel benefits- Christmas Bonus &amp; holiday bonus </t>
    </r>
    <r>
      <rPr>
        <b/>
        <sz val="8"/>
        <color indexed="8"/>
        <rFont val="Calibri"/>
        <family val="2"/>
      </rPr>
      <t>- Huambo</t>
    </r>
  </si>
  <si>
    <t>By law, a Christmas bonus and a holiday bonus is mandatory and will be paid. Each amount is 50% of base monthly salary</t>
  </si>
  <si>
    <r>
      <t>Personnel benefits- Christmas Bonus &amp; holiday bonus</t>
    </r>
    <r>
      <rPr>
        <b/>
        <sz val="8"/>
        <color indexed="8"/>
        <rFont val="Calibri"/>
        <family val="2"/>
      </rPr>
      <t xml:space="preserve"> - Uige</t>
    </r>
  </si>
  <si>
    <r>
      <t xml:space="preserve">Personnel benefits- Christmas Bonus &amp; holiday bonus </t>
    </r>
    <r>
      <rPr>
        <b/>
        <sz val="8"/>
        <color indexed="8"/>
        <rFont val="Calibri"/>
        <family val="2"/>
      </rPr>
      <t>- Zaire</t>
    </r>
  </si>
  <si>
    <r>
      <t>Personnel benefits - Severance National staff</t>
    </r>
    <r>
      <rPr>
        <b/>
        <sz val="8"/>
        <color indexed="8"/>
        <rFont val="Calibri"/>
        <family val="2"/>
      </rPr>
      <t xml:space="preserve"> - Huambo</t>
    </r>
  </si>
  <si>
    <t>Provision in case MENTOR has to dismiss a staff and which he is entitled by law to severance pay</t>
  </si>
  <si>
    <r>
      <t>Personnel benefits - Severance National staff</t>
    </r>
    <r>
      <rPr>
        <b/>
        <sz val="8"/>
        <color indexed="8"/>
        <rFont val="Calibri"/>
        <family val="2"/>
      </rPr>
      <t xml:space="preserve"> - Uige</t>
    </r>
  </si>
  <si>
    <r>
      <t xml:space="preserve">Personnel benefits - Severance National staff </t>
    </r>
    <r>
      <rPr>
        <b/>
        <sz val="8"/>
        <color indexed="8"/>
        <rFont val="Calibri"/>
        <family val="2"/>
      </rPr>
      <t>- Zaire</t>
    </r>
  </si>
  <si>
    <t>By law, staff insurance is compulsory</t>
  </si>
  <si>
    <t>NTD Coordinator-Capacity Building-Support to the National NTD Program</t>
  </si>
  <si>
    <t>Based in Luanda. Expat or Senior national staff</t>
  </si>
  <si>
    <t>Monitoring, Evaluation &amp; Reporting Officer-Support to the National NTD Program, based in Luanda</t>
  </si>
  <si>
    <t>Based in Luanda. Can be the salary of a staff from the Ministry of health</t>
  </si>
  <si>
    <t>Subsidy-NTD National Program Coordinator</t>
  </si>
  <si>
    <t>Subsidy for the head of the NTD National Program Coordinator position</t>
  </si>
  <si>
    <t>Subsidy-NTD National Program deputy Coordinator</t>
  </si>
  <si>
    <t>Subsidy for the head of the Deputy NTD National Program Coordinator position</t>
  </si>
  <si>
    <r>
      <t>Driver (1 @500)</t>
    </r>
    <r>
      <rPr>
        <b/>
        <sz val="8"/>
        <color indexed="8"/>
        <rFont val="Calibri"/>
        <family val="2"/>
      </rPr>
      <t xml:space="preserve"> - Huambo</t>
    </r>
  </si>
  <si>
    <t>Drivers' costs, 1 programme vehicle per province</t>
  </si>
  <si>
    <r>
      <t xml:space="preserve">Driver (2 @500)  </t>
    </r>
    <r>
      <rPr>
        <b/>
        <sz val="8"/>
        <color indexed="8"/>
        <rFont val="Calibri"/>
        <family val="2"/>
      </rPr>
      <t>- Uige</t>
    </r>
  </si>
  <si>
    <r>
      <t xml:space="preserve">Driver (2 @500) </t>
    </r>
    <r>
      <rPr>
        <b/>
        <sz val="8"/>
        <color indexed="8"/>
        <rFont val="Calibri"/>
        <family val="2"/>
      </rPr>
      <t>- Zaire</t>
    </r>
  </si>
  <si>
    <r>
      <t xml:space="preserve">Driver (1 @750) - </t>
    </r>
    <r>
      <rPr>
        <b/>
        <sz val="8"/>
        <color indexed="8"/>
        <rFont val="Calibri"/>
        <family val="2"/>
      </rPr>
      <t>Luanda</t>
    </r>
  </si>
  <si>
    <t>Drivers' costs</t>
  </si>
  <si>
    <t>B. Component 2: TECHNICAL ASSISTANCE</t>
  </si>
  <si>
    <t>HQ support to the field programmes/External expert</t>
  </si>
  <si>
    <t>HQ</t>
  </si>
  <si>
    <t>HQ-DC</t>
  </si>
  <si>
    <t>Financial direction &amp; reporting services</t>
  </si>
  <si>
    <t>HQ support to the field programmes</t>
  </si>
  <si>
    <t>Procurement &amp; logistics services</t>
  </si>
  <si>
    <t>International and local Flights (for HQ technical support visit )</t>
  </si>
  <si>
    <t xml:space="preserve">Flights for HQ support visits in the field </t>
  </si>
  <si>
    <t>TRAVEL</t>
  </si>
  <si>
    <t xml:space="preserve">Per diem for HQ support visits in the field </t>
  </si>
  <si>
    <t>C. Component 3: TRAINING</t>
  </si>
  <si>
    <r>
      <t xml:space="preserve">Vehicle Rent (1 vehicles @3200/month) </t>
    </r>
    <r>
      <rPr>
        <b/>
        <sz val="8"/>
        <color indexed="8"/>
        <rFont val="Calibri"/>
        <family val="2"/>
      </rPr>
      <t>- Huambo</t>
    </r>
  </si>
  <si>
    <t>Huambo field vehicle renting</t>
  </si>
  <si>
    <t>Vehicles</t>
  </si>
  <si>
    <r>
      <t>Vehicle insurance and taxes</t>
    </r>
    <r>
      <rPr>
        <b/>
        <sz val="8"/>
        <color indexed="8"/>
        <rFont val="Calibri"/>
        <family val="2"/>
      </rPr>
      <t xml:space="preserve"> - Huambo</t>
    </r>
  </si>
  <si>
    <t>field vehicle insurance</t>
  </si>
  <si>
    <t>Activity costs (eg. Training)</t>
  </si>
  <si>
    <r>
      <t>Vehicle Fuel</t>
    </r>
    <r>
      <rPr>
        <b/>
        <sz val="8"/>
        <color indexed="8"/>
        <rFont val="Calibri"/>
        <family val="2"/>
      </rPr>
      <t xml:space="preserve"> - Huambo</t>
    </r>
  </si>
  <si>
    <t xml:space="preserve">Huambo vehicle fuel </t>
  </si>
  <si>
    <r>
      <t>Vehicle Fuel</t>
    </r>
    <r>
      <rPr>
        <b/>
        <sz val="8"/>
        <color indexed="8"/>
        <rFont val="Calibri"/>
        <family val="2"/>
      </rPr>
      <t xml:space="preserve"> - Luanda</t>
    </r>
  </si>
  <si>
    <t xml:space="preserve">Luanda vehicle fuel </t>
  </si>
  <si>
    <r>
      <t>Vehicle Fuel</t>
    </r>
    <r>
      <rPr>
        <b/>
        <sz val="8"/>
        <color indexed="8"/>
        <rFont val="Calibri"/>
        <family val="2"/>
      </rPr>
      <t xml:space="preserve"> - Uige</t>
    </r>
  </si>
  <si>
    <t xml:space="preserve">Uige vehicle fuel </t>
  </si>
  <si>
    <t>CAPITAL EQUIPMENT</t>
  </si>
  <si>
    <r>
      <t>Vehicle maintenance, spare parts and repair for programme vehicles</t>
    </r>
    <r>
      <rPr>
        <b/>
        <sz val="8"/>
        <color indexed="8"/>
        <rFont val="Calibri"/>
        <family val="2"/>
      </rPr>
      <t xml:space="preserve"> - Huambo</t>
    </r>
  </si>
  <si>
    <t>Field vehicle maintenance programme vehicles including major repairs - Huambo, Uige &amp; Zaire</t>
  </si>
  <si>
    <r>
      <t>Driver (1@500)</t>
    </r>
    <r>
      <rPr>
        <b/>
        <sz val="8"/>
        <color indexed="8"/>
        <rFont val="Calibri"/>
        <family val="2"/>
      </rPr>
      <t xml:space="preserve"> - Huambo </t>
    </r>
  </si>
  <si>
    <t>Huambo driver</t>
  </si>
  <si>
    <r>
      <t>Driver</t>
    </r>
    <r>
      <rPr>
        <b/>
        <sz val="8"/>
        <color indexed="8"/>
        <rFont val="Calibri"/>
        <family val="2"/>
      </rPr>
      <t xml:space="preserve"> </t>
    </r>
    <r>
      <rPr>
        <sz val="8"/>
        <color indexed="8"/>
        <rFont val="Calibri"/>
        <family val="2"/>
      </rPr>
      <t>(1@500)</t>
    </r>
    <r>
      <rPr>
        <b/>
        <sz val="8"/>
        <color indexed="8"/>
        <rFont val="Calibri"/>
        <family val="2"/>
      </rPr>
      <t xml:space="preserve">  - Huambo</t>
    </r>
  </si>
  <si>
    <t>additional Huambo driver</t>
  </si>
  <si>
    <r>
      <t>Driver</t>
    </r>
    <r>
      <rPr>
        <b/>
        <sz val="8"/>
        <color indexed="8"/>
        <rFont val="Calibri"/>
        <family val="2"/>
      </rPr>
      <t xml:space="preserve"> </t>
    </r>
    <r>
      <rPr>
        <sz val="8"/>
        <color indexed="8"/>
        <rFont val="Calibri"/>
        <family val="2"/>
      </rPr>
      <t xml:space="preserve">(1@500) </t>
    </r>
    <r>
      <rPr>
        <b/>
        <sz val="8"/>
        <color indexed="8"/>
        <rFont val="Calibri"/>
        <family val="2"/>
      </rPr>
      <t xml:space="preserve"> - Uige</t>
    </r>
  </si>
  <si>
    <r>
      <t>Driver</t>
    </r>
    <r>
      <rPr>
        <b/>
        <sz val="8"/>
        <color indexed="8"/>
        <rFont val="Calibri"/>
        <family val="2"/>
      </rPr>
      <t xml:space="preserve"> </t>
    </r>
    <r>
      <rPr>
        <sz val="8"/>
        <color indexed="8"/>
        <rFont val="Calibri"/>
        <family val="2"/>
      </rPr>
      <t xml:space="preserve">(1@500) </t>
    </r>
    <r>
      <rPr>
        <b/>
        <sz val="8"/>
        <color indexed="8"/>
        <rFont val="Calibri"/>
        <family val="2"/>
      </rPr>
      <t xml:space="preserve"> - Zaire</t>
    </r>
  </si>
  <si>
    <r>
      <t xml:space="preserve">Training logistics costs (paper, pens, slideshow, etc) </t>
    </r>
    <r>
      <rPr>
        <b/>
        <sz val="8"/>
        <color indexed="8"/>
        <rFont val="Calibri"/>
        <family val="2"/>
      </rPr>
      <t>- Huambo</t>
    </r>
  </si>
  <si>
    <t>Stationary costs for trainings</t>
  </si>
  <si>
    <t>TRAINING</t>
  </si>
  <si>
    <r>
      <t xml:space="preserve">Training logistics costs (paper, pens, slideshow, etc) </t>
    </r>
    <r>
      <rPr>
        <b/>
        <sz val="8"/>
        <color indexed="8"/>
        <rFont val="Calibri"/>
        <family val="2"/>
      </rPr>
      <t>- Uige</t>
    </r>
  </si>
  <si>
    <r>
      <t>Training logistics costs (paper, pens, slideshow, etc)</t>
    </r>
    <r>
      <rPr>
        <b/>
        <sz val="8"/>
        <color indexed="8"/>
        <rFont val="Calibri"/>
        <family val="2"/>
      </rPr>
      <t xml:space="preserve"> - Zaire</t>
    </r>
  </si>
  <si>
    <r>
      <t>Training room rental</t>
    </r>
    <r>
      <rPr>
        <b/>
        <sz val="8"/>
        <color indexed="8"/>
        <rFont val="Calibri"/>
        <family val="2"/>
      </rPr>
      <t xml:space="preserve"> - Huambo</t>
    </r>
  </si>
  <si>
    <t>Rental space for trainings</t>
  </si>
  <si>
    <r>
      <t>Training room rental</t>
    </r>
    <r>
      <rPr>
        <b/>
        <sz val="8"/>
        <color indexed="8"/>
        <rFont val="Calibri"/>
        <family val="2"/>
      </rPr>
      <t xml:space="preserve"> - Uige</t>
    </r>
  </si>
  <si>
    <r>
      <t>Training room rental</t>
    </r>
    <r>
      <rPr>
        <b/>
        <sz val="8"/>
        <color indexed="8"/>
        <rFont val="Calibri"/>
        <family val="2"/>
      </rPr>
      <t xml:space="preserve"> - Zaire</t>
    </r>
  </si>
  <si>
    <r>
      <t>Accomodation/Travel for Partners / Meetings</t>
    </r>
    <r>
      <rPr>
        <b/>
        <sz val="8"/>
        <color indexed="8"/>
        <rFont val="Calibri"/>
        <family val="2"/>
      </rPr>
      <t>- Huambo</t>
    </r>
  </si>
  <si>
    <t>Accomodation for meetings or travel overnights in the provinces, with a training or programmatic purpose. Only for Ministry of Health partners or other program partners. 60 HF Uige, 50 HF Zaire, 140 HF Huambo</t>
  </si>
  <si>
    <r>
      <t xml:space="preserve">Accomodation/Travel for Partners / Training of trainers NTD </t>
    </r>
    <r>
      <rPr>
        <b/>
        <sz val="8"/>
        <color indexed="8"/>
        <rFont val="Calibri"/>
        <family val="2"/>
      </rPr>
      <t>- Huambo</t>
    </r>
  </si>
  <si>
    <r>
      <t>Accomodation/Travel for Partners / Meetings -</t>
    </r>
    <r>
      <rPr>
        <b/>
        <sz val="8"/>
        <color indexed="8"/>
        <rFont val="Calibri"/>
        <family val="2"/>
      </rPr>
      <t xml:space="preserve"> Uige</t>
    </r>
  </si>
  <si>
    <r>
      <t xml:space="preserve">Accomodation/Travel for Partners / Training of trainers NTD </t>
    </r>
    <r>
      <rPr>
        <b/>
        <sz val="8"/>
        <color indexed="8"/>
        <rFont val="Calibri"/>
        <family val="2"/>
      </rPr>
      <t>- Uige</t>
    </r>
  </si>
  <si>
    <r>
      <t xml:space="preserve">Accomodation/Travel for Partners / Meetings - </t>
    </r>
    <r>
      <rPr>
        <b/>
        <sz val="8"/>
        <color indexed="8"/>
        <rFont val="Calibri"/>
        <family val="2"/>
      </rPr>
      <t>Zaire</t>
    </r>
  </si>
  <si>
    <r>
      <t xml:space="preserve">Accomodation/Travel for Partners / Training of trainers NTD </t>
    </r>
    <r>
      <rPr>
        <b/>
        <sz val="8"/>
        <color indexed="8"/>
        <rFont val="Calibri"/>
        <family val="2"/>
      </rPr>
      <t>- Zaire</t>
    </r>
  </si>
  <si>
    <t>Production of technical guidelines and IEC materials</t>
  </si>
  <si>
    <t>Annual</t>
  </si>
  <si>
    <t>2,3</t>
  </si>
  <si>
    <t>HF SUPPORT</t>
  </si>
  <si>
    <r>
      <t xml:space="preserve">Accomodation/Travel for Training </t>
    </r>
    <r>
      <rPr>
        <b/>
        <sz val="8"/>
        <color indexed="8"/>
        <rFont val="Calibri"/>
        <family val="2"/>
      </rPr>
      <t xml:space="preserve">140 HF-Huambo, </t>
    </r>
  </si>
  <si>
    <t>Accomodation for meetings or travel overnights in the provinces, with a training or programmatic purpose for trainees</t>
  </si>
  <si>
    <r>
      <t xml:space="preserve">Accomodation/Travel for Training </t>
    </r>
    <r>
      <rPr>
        <b/>
        <sz val="8"/>
        <color indexed="8"/>
        <rFont val="Calibri"/>
        <family val="2"/>
      </rPr>
      <t xml:space="preserve"> 60 HF Uige</t>
    </r>
  </si>
  <si>
    <r>
      <t>Accomodation/Travel for Training</t>
    </r>
    <r>
      <rPr>
        <b/>
        <sz val="8"/>
        <color indexed="8"/>
        <rFont val="Calibri"/>
        <family val="2"/>
      </rPr>
      <t xml:space="preserve"> 50 HF Zaire</t>
    </r>
  </si>
  <si>
    <r>
      <t xml:space="preserve">Technical Supervisor-Training </t>
    </r>
    <r>
      <rPr>
        <b/>
        <sz val="8"/>
        <color indexed="8"/>
        <rFont val="Calibri"/>
        <family val="2"/>
      </rPr>
      <t xml:space="preserve"> - Huambo</t>
    </r>
  </si>
  <si>
    <t>Field staff Huambo (Training/medical oriented supervisor)</t>
  </si>
  <si>
    <r>
      <t xml:space="preserve">Technical Supervisor-Training  - </t>
    </r>
    <r>
      <rPr>
        <b/>
        <sz val="8"/>
        <color indexed="8"/>
        <rFont val="Calibri"/>
        <family val="2"/>
      </rPr>
      <t>Uige</t>
    </r>
  </si>
  <si>
    <r>
      <t xml:space="preserve">Technical Supervisor-Training  </t>
    </r>
    <r>
      <rPr>
        <b/>
        <sz val="8"/>
        <color indexed="8"/>
        <rFont val="Calibri"/>
        <family val="2"/>
      </rPr>
      <t>- Zaire</t>
    </r>
  </si>
  <si>
    <r>
      <t>Technical Supervisor-Health facility supervisions</t>
    </r>
    <r>
      <rPr>
        <b/>
        <sz val="8"/>
        <color indexed="8"/>
        <rFont val="Calibri"/>
        <family val="2"/>
      </rPr>
      <t xml:space="preserve"> - Huambo</t>
    </r>
  </si>
  <si>
    <t>Field staff Huambo (Supervisions/medical oriented supervisor)</t>
  </si>
  <si>
    <r>
      <t>Technical Supervisor-Health facility supervisions</t>
    </r>
    <r>
      <rPr>
        <b/>
        <sz val="8"/>
        <color indexed="8"/>
        <rFont val="Calibri"/>
        <family val="2"/>
      </rPr>
      <t xml:space="preserve"> - Uige</t>
    </r>
  </si>
  <si>
    <r>
      <t>Technical Supervisor-Health facility supervisions</t>
    </r>
    <r>
      <rPr>
        <b/>
        <sz val="8"/>
        <color indexed="8"/>
        <rFont val="Calibri"/>
        <family val="2"/>
      </rPr>
      <t xml:space="preserve"> - Zaire</t>
    </r>
  </si>
  <si>
    <t>Technical supervisors support to Provincial Direction of Health</t>
  </si>
  <si>
    <t>D. Component 4: WATER AND SANITATION EQUIPMENT</t>
  </si>
  <si>
    <r>
      <t xml:space="preserve">Hygiene kits for the schools </t>
    </r>
    <r>
      <rPr>
        <b/>
        <sz val="8"/>
        <color indexed="8"/>
        <rFont val="Calibri"/>
        <family val="2"/>
      </rPr>
      <t>- Huambo</t>
    </r>
  </si>
  <si>
    <t>2127 schools - $50 per school</t>
  </si>
  <si>
    <t>Supplies</t>
  </si>
  <si>
    <r>
      <t xml:space="preserve">Hygiene kits for the schools </t>
    </r>
    <r>
      <rPr>
        <b/>
        <sz val="8"/>
        <color indexed="8"/>
        <rFont val="Calibri"/>
        <family val="2"/>
      </rPr>
      <t>- Uige</t>
    </r>
  </si>
  <si>
    <r>
      <t>Hygiene kits for the schools</t>
    </r>
    <r>
      <rPr>
        <b/>
        <sz val="8"/>
        <color indexed="8"/>
        <rFont val="Calibri"/>
        <family val="2"/>
      </rPr>
      <t xml:space="preserve"> - Zaire</t>
    </r>
  </si>
  <si>
    <r>
      <t>Hygiene promotion equipment (printed material, t-shirts, posters, manuals etc…)</t>
    </r>
    <r>
      <rPr>
        <b/>
        <sz val="8"/>
        <color indexed="8"/>
        <rFont val="Calibri"/>
        <family val="2"/>
      </rPr>
      <t xml:space="preserve"> - Huambo</t>
    </r>
  </si>
  <si>
    <r>
      <t>Hygiene promotion equipment (printed material, t-shirts, posters, manuals etc…)</t>
    </r>
    <r>
      <rPr>
        <b/>
        <sz val="8"/>
        <color indexed="8"/>
        <rFont val="Calibri"/>
        <family val="2"/>
      </rPr>
      <t xml:space="preserve"> - Uige</t>
    </r>
  </si>
  <si>
    <r>
      <t>Hygiene promotion equipment (printed material, t-shirts, posters, manuals etc…)</t>
    </r>
    <r>
      <rPr>
        <b/>
        <sz val="8"/>
        <color indexed="8"/>
        <rFont val="Calibri"/>
        <family val="2"/>
      </rPr>
      <t xml:space="preserve"> - Zaire</t>
    </r>
  </si>
  <si>
    <t>D. Component 5: WATER, SANITATION AND HYGIENE INTERVENTIONS</t>
  </si>
  <si>
    <r>
      <t>Technical Supervisors-WASH</t>
    </r>
    <r>
      <rPr>
        <b/>
        <sz val="8"/>
        <color indexed="8"/>
        <rFont val="Calibri"/>
        <family val="2"/>
      </rPr>
      <t xml:space="preserve"> - Huambo</t>
    </r>
  </si>
  <si>
    <t>Field staff Huambo (Supervisions/WASH oriented supervisor)</t>
  </si>
  <si>
    <r>
      <t>Technical Supervisors-WASH</t>
    </r>
    <r>
      <rPr>
        <b/>
        <sz val="8"/>
        <color indexed="8"/>
        <rFont val="Calibri"/>
        <family val="2"/>
      </rPr>
      <t xml:space="preserve"> - Uige</t>
    </r>
  </si>
  <si>
    <r>
      <t>Technical Supervisors-WASH</t>
    </r>
    <r>
      <rPr>
        <b/>
        <sz val="8"/>
        <color indexed="8"/>
        <rFont val="Calibri"/>
        <family val="2"/>
      </rPr>
      <t xml:space="preserve"> - Zaire</t>
    </r>
  </si>
  <si>
    <t>Field vehicle renting</t>
  </si>
  <si>
    <r>
      <t>Vehicle Rent (1 vehicles @3200/month)</t>
    </r>
    <r>
      <rPr>
        <b/>
        <sz val="8"/>
        <color indexed="8"/>
        <rFont val="Calibri"/>
        <family val="2"/>
      </rPr>
      <t xml:space="preserve"> - Uige</t>
    </r>
  </si>
  <si>
    <r>
      <t xml:space="preserve">Vehicle Rent (1 vehicles @3200/month) </t>
    </r>
    <r>
      <rPr>
        <b/>
        <sz val="8"/>
        <color indexed="8"/>
        <rFont val="Calibri"/>
        <family val="2"/>
      </rPr>
      <t>- Zaire</t>
    </r>
  </si>
  <si>
    <r>
      <t xml:space="preserve">Vehicle maintenance, spare parts and repair (2 vehicle)  </t>
    </r>
    <r>
      <rPr>
        <b/>
        <sz val="8"/>
        <color indexed="8"/>
        <rFont val="Calibri"/>
        <family val="2"/>
      </rPr>
      <t>- Huambo</t>
    </r>
  </si>
  <si>
    <r>
      <t xml:space="preserve">Vehicle maintenance, spare parts and repair (2 vehicle)  </t>
    </r>
    <r>
      <rPr>
        <b/>
        <sz val="8"/>
        <color indexed="8"/>
        <rFont val="Calibri"/>
        <family val="2"/>
      </rPr>
      <t>- Uige</t>
    </r>
  </si>
  <si>
    <r>
      <t xml:space="preserve">Vehicle maintenance, spare parts and repair (2 vehicle)  </t>
    </r>
    <r>
      <rPr>
        <b/>
        <sz val="8"/>
        <color indexed="8"/>
        <rFont val="Calibri"/>
        <family val="2"/>
      </rPr>
      <t>- Zaire</t>
    </r>
  </si>
  <si>
    <r>
      <t xml:space="preserve">Driver (1 @500) </t>
    </r>
    <r>
      <rPr>
        <b/>
        <sz val="8"/>
        <color indexed="8"/>
        <rFont val="Calibri"/>
        <family val="2"/>
      </rPr>
      <t>-Huambo</t>
    </r>
  </si>
  <si>
    <r>
      <t xml:space="preserve">Driver (1 @500) </t>
    </r>
    <r>
      <rPr>
        <b/>
        <sz val="8"/>
        <color indexed="8"/>
        <rFont val="Calibri"/>
        <family val="2"/>
      </rPr>
      <t>- Uige</t>
    </r>
  </si>
  <si>
    <r>
      <t xml:space="preserve">Driver (1 @500) </t>
    </r>
    <r>
      <rPr>
        <b/>
        <sz val="8"/>
        <color indexed="8"/>
        <rFont val="Calibri"/>
        <family val="2"/>
      </rPr>
      <t xml:space="preserve"> - Zaire</t>
    </r>
  </si>
  <si>
    <t>D. Component 6: PROCUREMENT AND SUPPLY MANAGEMENT</t>
  </si>
  <si>
    <r>
      <t>Local transport</t>
    </r>
    <r>
      <rPr>
        <b/>
        <sz val="8"/>
        <color indexed="8"/>
        <rFont val="Calibri"/>
        <family val="2"/>
      </rPr>
      <t xml:space="preserve"> - Huambo</t>
    </r>
  </si>
  <si>
    <t>Goods or people local transportation costs (taxis)</t>
  </si>
  <si>
    <t>1,2,3,4,</t>
  </si>
  <si>
    <r>
      <t xml:space="preserve">Local transport </t>
    </r>
    <r>
      <rPr>
        <b/>
        <sz val="8"/>
        <color indexed="8"/>
        <rFont val="Calibri"/>
        <family val="2"/>
      </rPr>
      <t>- Uige</t>
    </r>
  </si>
  <si>
    <r>
      <t xml:space="preserve">Local transport </t>
    </r>
    <r>
      <rPr>
        <b/>
        <sz val="8"/>
        <color indexed="8"/>
        <rFont val="Calibri"/>
        <family val="2"/>
      </rPr>
      <t>- Zaire</t>
    </r>
  </si>
  <si>
    <r>
      <t xml:space="preserve">Warehouse rent and maintenance  </t>
    </r>
    <r>
      <rPr>
        <b/>
        <sz val="8"/>
        <color indexed="8"/>
        <rFont val="Calibri"/>
        <family val="2"/>
      </rPr>
      <t>-Huambo</t>
    </r>
  </si>
  <si>
    <t>Warehouse renting for drugs or equipments. Will also include contribution to the Huambo office rent, since the warehouse will be used for this program</t>
  </si>
  <si>
    <r>
      <t>Warehouse rent and maintenance</t>
    </r>
    <r>
      <rPr>
        <b/>
        <sz val="8"/>
        <color indexed="8"/>
        <rFont val="Calibri"/>
        <family val="2"/>
      </rPr>
      <t xml:space="preserve"> - Uige</t>
    </r>
  </si>
  <si>
    <r>
      <t xml:space="preserve">Warehouse rent and maintenance </t>
    </r>
    <r>
      <rPr>
        <b/>
        <sz val="8"/>
        <color indexed="8"/>
        <rFont val="Calibri"/>
        <family val="2"/>
      </rPr>
      <t>- Zaire</t>
    </r>
  </si>
  <si>
    <r>
      <t xml:space="preserve">Local Freight (drugs, supplies) </t>
    </r>
    <r>
      <rPr>
        <b/>
        <sz val="8"/>
        <color indexed="8"/>
        <rFont val="Calibri"/>
        <family val="2"/>
      </rPr>
      <t>- Huambo</t>
    </r>
  </si>
  <si>
    <t>Local frieght transportation for drugs or supplies</t>
  </si>
  <si>
    <r>
      <t xml:space="preserve">Local Freight (drugs, supplies) </t>
    </r>
    <r>
      <rPr>
        <b/>
        <sz val="8"/>
        <color indexed="8"/>
        <rFont val="Calibri"/>
        <family val="2"/>
      </rPr>
      <t>- Uige</t>
    </r>
  </si>
  <si>
    <r>
      <t xml:space="preserve">Local Freight (drugs, supplies) </t>
    </r>
    <r>
      <rPr>
        <b/>
        <sz val="8"/>
        <color indexed="8"/>
        <rFont val="Calibri"/>
        <family val="2"/>
      </rPr>
      <t>- Zaire</t>
    </r>
  </si>
  <si>
    <r>
      <t xml:space="preserve">Drugs for MDAs - contingency stock </t>
    </r>
    <r>
      <rPr>
        <b/>
        <sz val="8"/>
        <color indexed="8"/>
        <rFont val="Calibri"/>
        <family val="2"/>
      </rPr>
      <t>- Huambo</t>
    </r>
  </si>
  <si>
    <t>In case of stock out or delay to WHO donations</t>
  </si>
  <si>
    <t>1,2,3</t>
  </si>
  <si>
    <r>
      <t xml:space="preserve">Drugs for MDAs - contingency stock </t>
    </r>
    <r>
      <rPr>
        <b/>
        <sz val="8"/>
        <color indexed="8"/>
        <rFont val="Calibri"/>
        <family val="2"/>
      </rPr>
      <t>- Uige</t>
    </r>
  </si>
  <si>
    <r>
      <t xml:space="preserve">Drugs for MDAs - contingency stock </t>
    </r>
    <r>
      <rPr>
        <b/>
        <sz val="8"/>
        <color indexed="8"/>
        <rFont val="Calibri"/>
        <family val="2"/>
      </rPr>
      <t>- Zaire</t>
    </r>
  </si>
  <si>
    <r>
      <t xml:space="preserve">Community drugs distributors - </t>
    </r>
    <r>
      <rPr>
        <b/>
        <sz val="8"/>
        <color indexed="8"/>
        <rFont val="Calibri"/>
        <family val="2"/>
      </rPr>
      <t>all municipalities</t>
    </r>
  </si>
  <si>
    <t>Incentive / meals for children receiving Praziquantel</t>
  </si>
  <si>
    <r>
      <t xml:space="preserve">International freight - drug contingency stocks </t>
    </r>
    <r>
      <rPr>
        <b/>
        <sz val="8"/>
        <color indexed="8"/>
        <rFont val="Calibri"/>
        <family val="2"/>
      </rPr>
      <t>- Huambo</t>
    </r>
  </si>
  <si>
    <r>
      <t xml:space="preserve">International freight - drug contingency stocks </t>
    </r>
    <r>
      <rPr>
        <b/>
        <sz val="8"/>
        <color indexed="8"/>
        <rFont val="Calibri"/>
        <family val="2"/>
      </rPr>
      <t>- Uige</t>
    </r>
  </si>
  <si>
    <r>
      <t xml:space="preserve">International freight - drug contingency stocks </t>
    </r>
    <r>
      <rPr>
        <b/>
        <sz val="8"/>
        <color indexed="8"/>
        <rFont val="Calibri"/>
        <family val="2"/>
      </rPr>
      <t>- Zaire</t>
    </r>
  </si>
  <si>
    <r>
      <t xml:space="preserve">Vehicle Rent (1 vehicle @3200 a month) </t>
    </r>
    <r>
      <rPr>
        <b/>
        <sz val="8"/>
        <color indexed="8"/>
        <rFont val="Calibri"/>
        <family val="2"/>
      </rPr>
      <t>- Uige</t>
    </r>
  </si>
  <si>
    <t>E. Component 7: INFRASTRUCTURE AND OTHER EQUIPMENT</t>
  </si>
  <si>
    <t>Office rent Huambo, Uige &amp; Zaire 50%</t>
  </si>
  <si>
    <t>Other direct costs</t>
  </si>
  <si>
    <t>Office rent Luanda 50%</t>
  </si>
  <si>
    <t>Office running costs (utilities and maintenance)</t>
  </si>
  <si>
    <t>Huambo office maintenance and daily expenses</t>
  </si>
  <si>
    <t>Communication equipment-Huambo, Uige &amp; Zaire</t>
  </si>
  <si>
    <t>Phones and internet USB modems; installation of internet system</t>
  </si>
  <si>
    <t>Communications running costs (telephone, sat phone, internet, courrier)-Huambo, Uige &amp; Zaire</t>
  </si>
  <si>
    <t>purchase of phone and internet credit</t>
  </si>
  <si>
    <t>Computers, software, accessories, licences &amp; maintenance</t>
  </si>
  <si>
    <t>Purchase of desktopsand/or laptops for the offices in Huambo, Uige &amp; Zaire</t>
  </si>
  <si>
    <t>Printer copier</t>
  </si>
  <si>
    <t>unit</t>
  </si>
  <si>
    <t>Generator purchase-Huambo, Uige &amp; Zaire</t>
  </si>
  <si>
    <t>Generator purchase for the offices in Huambo, Uige &amp; Zaire</t>
  </si>
  <si>
    <t xml:space="preserve">fuel for generator </t>
  </si>
  <si>
    <t>Vehicle purchase Luanda</t>
  </si>
  <si>
    <t xml:space="preserve">Small car </t>
  </si>
  <si>
    <t>F. Component 8: COMMUNICATIONS MATERIALS</t>
  </si>
  <si>
    <r>
      <t>Visibility supplies (posters, pamphlets, shirts, stickers...)</t>
    </r>
    <r>
      <rPr>
        <b/>
        <sz val="8"/>
        <color indexed="8"/>
        <rFont val="Calibri"/>
        <family val="2"/>
      </rPr>
      <t xml:space="preserve"> - Huambo</t>
    </r>
  </si>
  <si>
    <t>IEC material for the program production</t>
  </si>
  <si>
    <r>
      <t xml:space="preserve">Visibility supplies (posters, pamphlets, shirts, stickers...) </t>
    </r>
    <r>
      <rPr>
        <b/>
        <sz val="8"/>
        <color indexed="8"/>
        <rFont val="Calibri"/>
        <family val="2"/>
      </rPr>
      <t>- Uige</t>
    </r>
  </si>
  <si>
    <r>
      <t>Visibility supplies (posters, pamphlets, shirts, stickers...)</t>
    </r>
    <r>
      <rPr>
        <b/>
        <sz val="8"/>
        <color indexed="8"/>
        <rFont val="Calibri"/>
        <family val="2"/>
      </rPr>
      <t xml:space="preserve"> - Zaire</t>
    </r>
  </si>
  <si>
    <r>
      <t>Office supplies, printing &amp; copying</t>
    </r>
    <r>
      <rPr>
        <b/>
        <sz val="8"/>
        <color indexed="8"/>
        <rFont val="Calibri"/>
        <family val="2"/>
      </rPr>
      <t xml:space="preserve"> - Huambo</t>
    </r>
  </si>
  <si>
    <t>IEC basic supplies for Huambo, Uige &amp; Zaire</t>
  </si>
  <si>
    <r>
      <t>Office supplies, printing &amp; copying</t>
    </r>
    <r>
      <rPr>
        <b/>
        <sz val="8"/>
        <color indexed="8"/>
        <rFont val="Calibri"/>
        <family val="2"/>
      </rPr>
      <t xml:space="preserve"> - Uige</t>
    </r>
  </si>
  <si>
    <r>
      <t>Office supplies, printing &amp; copying</t>
    </r>
    <r>
      <rPr>
        <b/>
        <sz val="8"/>
        <color indexed="8"/>
        <rFont val="Calibri"/>
        <family val="2"/>
      </rPr>
      <t xml:space="preserve"> - Zaire</t>
    </r>
  </si>
  <si>
    <t>G. Component 9: MONITORING AND EVALUATION</t>
  </si>
  <si>
    <r>
      <t xml:space="preserve">Vehicle Rent-M&amp;E </t>
    </r>
    <r>
      <rPr>
        <b/>
        <sz val="8"/>
        <color indexed="8"/>
        <rFont val="Calibri"/>
        <family val="2"/>
      </rPr>
      <t>- Zaire</t>
    </r>
  </si>
  <si>
    <t>Vehicle rent for M&amp;E</t>
  </si>
  <si>
    <r>
      <t>Vehicle fuel</t>
    </r>
    <r>
      <rPr>
        <b/>
        <sz val="8"/>
        <color indexed="8"/>
        <rFont val="Calibri"/>
        <family val="2"/>
      </rPr>
      <t xml:space="preserve"> - Zaire</t>
    </r>
  </si>
  <si>
    <t xml:space="preserve">Zaire vehicle fuel </t>
  </si>
  <si>
    <r>
      <t xml:space="preserve">M&amp;E Supplies (data software, ledger books, supplies) </t>
    </r>
    <r>
      <rPr>
        <b/>
        <sz val="8"/>
        <color indexed="8"/>
        <rFont val="Calibri"/>
        <family val="2"/>
      </rPr>
      <t>- Huambo</t>
    </r>
  </si>
  <si>
    <t>Basic stationary supplies</t>
  </si>
  <si>
    <r>
      <t xml:space="preserve">M&amp;E Supplies (data software, ledger books, supplies) </t>
    </r>
    <r>
      <rPr>
        <b/>
        <sz val="8"/>
        <color indexed="8"/>
        <rFont val="Calibri"/>
        <family val="2"/>
      </rPr>
      <t>- Uige</t>
    </r>
  </si>
  <si>
    <r>
      <t xml:space="preserve">M&amp;E Supplies (data software, ledger books, supplies) </t>
    </r>
    <r>
      <rPr>
        <b/>
        <sz val="8"/>
        <color indexed="8"/>
        <rFont val="Calibri"/>
        <family val="2"/>
      </rPr>
      <t>- Zaire</t>
    </r>
  </si>
  <si>
    <r>
      <t xml:space="preserve">National flights - Provincial travel </t>
    </r>
    <r>
      <rPr>
        <b/>
        <sz val="8"/>
        <color indexed="8"/>
        <rFont val="Calibri"/>
        <family val="2"/>
      </rPr>
      <t>- Huambo</t>
    </r>
  </si>
  <si>
    <t>National flights for Coordination staffs</t>
  </si>
  <si>
    <r>
      <t xml:space="preserve">National flights - Provincial travel </t>
    </r>
    <r>
      <rPr>
        <b/>
        <sz val="8"/>
        <color indexed="8"/>
        <rFont val="Calibri"/>
        <family val="2"/>
      </rPr>
      <t>- Uige</t>
    </r>
  </si>
  <si>
    <r>
      <t xml:space="preserve">National flights - Provincial travel </t>
    </r>
    <r>
      <rPr>
        <b/>
        <sz val="8"/>
        <color indexed="8"/>
        <rFont val="Calibri"/>
        <family val="2"/>
      </rPr>
      <t>- Zaire</t>
    </r>
  </si>
  <si>
    <t>Flights for all international staff: Programme Coordinator, Country Director, Finance and Admin coordinator, and Medical Coordinator</t>
  </si>
  <si>
    <r>
      <t xml:space="preserve">Technical Supervisors- MDA, IEC &amp; community interventions - </t>
    </r>
    <r>
      <rPr>
        <b/>
        <sz val="8"/>
        <color indexed="8"/>
        <rFont val="Calibri"/>
        <family val="2"/>
      </rPr>
      <t>Huambo</t>
    </r>
  </si>
  <si>
    <t>Additional Field staff Huambo(IEC/MDA oriented supervisor)</t>
  </si>
  <si>
    <r>
      <t xml:space="preserve">Technical Supervisors- MDA, IEC &amp; community interventions </t>
    </r>
    <r>
      <rPr>
        <b/>
        <sz val="8"/>
        <color indexed="8"/>
        <rFont val="Calibri"/>
        <family val="2"/>
      </rPr>
      <t>- Uige</t>
    </r>
  </si>
  <si>
    <r>
      <t xml:space="preserve">Technical Supervisors- MDA, IEC &amp; community interventions </t>
    </r>
    <r>
      <rPr>
        <b/>
        <sz val="8"/>
        <color indexed="8"/>
        <rFont val="Calibri"/>
        <family val="2"/>
      </rPr>
      <t>- Zaire</t>
    </r>
  </si>
  <si>
    <t>H. Component 10: LIVING OR OTHER SUPPORT TO TARGET POPULATION</t>
  </si>
  <si>
    <t>In Country Living Allowance (ICLA)</t>
  </si>
  <si>
    <t>for all international staff: Programme Coordinator, Country Director, Finance and Admin coordinator, and Medical Coordinator</t>
  </si>
  <si>
    <t>For the programme Coordinator</t>
  </si>
  <si>
    <t>for 1 international staff: Programme Coordinator, Country Director, Finance and Admin coordinator, and Medical Coordinator</t>
  </si>
  <si>
    <t>I. Component 11: PLANNING AND ADMINISTRATION</t>
  </si>
  <si>
    <t>Bank charges- Huambo, Uige &amp; Zaire</t>
  </si>
  <si>
    <t>Bank fees</t>
  </si>
  <si>
    <t>Fees for audit</t>
  </si>
  <si>
    <r>
      <t>Vehicle insurance and taxes 2 vehicles</t>
    </r>
    <r>
      <rPr>
        <b/>
        <sz val="8"/>
        <color indexed="8"/>
        <rFont val="Calibri"/>
        <family val="2"/>
      </rPr>
      <t xml:space="preserve"> - Huambo</t>
    </r>
  </si>
  <si>
    <t>Compulsory expenses for vehicles</t>
  </si>
  <si>
    <r>
      <t>Vehicle insurance and taxes 2 vehicle</t>
    </r>
    <r>
      <rPr>
        <b/>
        <sz val="8"/>
        <color indexed="8"/>
        <rFont val="Calibri"/>
        <family val="2"/>
      </rPr>
      <t xml:space="preserve"> - Uige</t>
    </r>
  </si>
  <si>
    <r>
      <t>Vehicle insurance and taxes 2 vehicle</t>
    </r>
    <r>
      <rPr>
        <b/>
        <sz val="8"/>
        <color indexed="8"/>
        <rFont val="Calibri"/>
        <family val="2"/>
      </rPr>
      <t xml:space="preserve"> - Zaire</t>
    </r>
  </si>
  <si>
    <r>
      <t>NTD meetings and training costs-Luanda</t>
    </r>
    <r>
      <rPr>
        <b/>
        <sz val="8"/>
        <color indexed="8"/>
        <rFont val="Calibri"/>
        <family val="2"/>
      </rPr>
      <t xml:space="preserve"> - Huambo</t>
    </r>
  </si>
  <si>
    <t>catering and food expenses for meetings and/or trainings</t>
  </si>
  <si>
    <r>
      <t xml:space="preserve">NTD meetings and training costs-Luanda </t>
    </r>
    <r>
      <rPr>
        <b/>
        <sz val="8"/>
        <color indexed="8"/>
        <rFont val="Calibri"/>
        <family val="2"/>
      </rPr>
      <t>- Uige</t>
    </r>
  </si>
  <si>
    <r>
      <t xml:space="preserve">NTD meetings and training costs-Luanda </t>
    </r>
    <r>
      <rPr>
        <b/>
        <sz val="8"/>
        <color indexed="8"/>
        <rFont val="Calibri"/>
        <family val="2"/>
      </rPr>
      <t>- Zaire</t>
    </r>
  </si>
  <si>
    <t>J. Component 12: MAPPING NTD</t>
  </si>
  <si>
    <t>Monitoring, Evaluation &amp; Reporting Officer</t>
  </si>
  <si>
    <t>Per diem National NTD &amp; Lab Coordinator (mapping in the field)</t>
  </si>
  <si>
    <t xml:space="preserve">per diem for the NTD National Program staff when they are in the provinces doing mapping work or mapping preparation work (Head NTD national Programme based in Luanda, or his representatives) </t>
  </si>
  <si>
    <t>Per diem Provincial Lab Coordinators (mapping in the field)</t>
  </si>
  <si>
    <t>per diem for the MOH provincial staff when they are in the provinces doing mapping work or mapping preparation work</t>
  </si>
  <si>
    <t>Per Diem Lab technicians of Health facility level (mapping in the field)</t>
  </si>
  <si>
    <t>per diem for the mapping teams staff when they are in the provinces doing mapping work or mapping preparation work</t>
  </si>
  <si>
    <t>Drivers (3*500)</t>
  </si>
  <si>
    <t>Temporary drivers' positions for the mapping</t>
  </si>
  <si>
    <t xml:space="preserve">Payroll taxes &amp; social security (INSS) </t>
  </si>
  <si>
    <t>mandatory state obligations for the temporary staff hired for the mapping</t>
  </si>
  <si>
    <t>NTD Specialist Support (all included: fees, per diem, other costs)</t>
  </si>
  <si>
    <t>Mapping Consultant's costs</t>
  </si>
  <si>
    <t>International flights expenses for the mapping consultant or HQ visits during the mapping</t>
  </si>
  <si>
    <t>Per-diem for the mapping consultant</t>
  </si>
  <si>
    <t>Accomodation for Training (4 person/province, 3 nights)</t>
  </si>
  <si>
    <t>Accomodation for the mappping training at a central level (Luanda, Huambo)</t>
  </si>
  <si>
    <t>transportation costs for the mapping trainings</t>
  </si>
  <si>
    <t>lab and other equipment for the mapping (national and international procurement)</t>
  </si>
  <si>
    <t>International freight, insurance &amp; clearance</t>
  </si>
  <si>
    <t>international freight costs and Customs clearance costs in-country</t>
  </si>
  <si>
    <t xml:space="preserve">Local freight (drugs, supplies) </t>
  </si>
  <si>
    <t>Local freight transportation for drugs or supplies</t>
  </si>
  <si>
    <t>phones and internet USB modems for the mapping teams</t>
  </si>
  <si>
    <t>Other Direct Costs</t>
  </si>
  <si>
    <t>Communications running costs (telephone, sat phone, internet, courrier)</t>
  </si>
  <si>
    <t>phone and internet credit for the mapping</t>
  </si>
  <si>
    <t xml:space="preserve">Purchase of computers for the mapping teams </t>
  </si>
  <si>
    <t>Visibility supplies for the mapping (posters, pamphlets, T-shirts)</t>
  </si>
  <si>
    <t>IEC and team visibility supplies for the mapping, including mapping teams T-shirts</t>
  </si>
  <si>
    <t>mapping documents printing</t>
  </si>
  <si>
    <t>Vehicle Rent (3 vehicles @3000/month plus 150 for repairs &amp; maintenance)</t>
  </si>
  <si>
    <t>Extra Vehicles rent for the mapping</t>
  </si>
  <si>
    <r>
      <t xml:space="preserve">Vehicle insurance and taxes </t>
    </r>
    <r>
      <rPr>
        <b/>
        <sz val="8"/>
        <color indexed="8"/>
        <rFont val="Calibri"/>
        <family val="2"/>
      </rPr>
      <t xml:space="preserve"> - Luanda</t>
    </r>
  </si>
  <si>
    <t>mandatory insurance costs</t>
  </si>
  <si>
    <t>Accomodation in the field for mapping teams</t>
  </si>
  <si>
    <t>Food for the mapping teams (20 persons, 50 days)</t>
  </si>
  <si>
    <t>Food and catering in the field</t>
  </si>
  <si>
    <t>J. Indirect Costs</t>
  </si>
  <si>
    <t>HQ indirect costs</t>
  </si>
  <si>
    <t>HQ-IC</t>
  </si>
  <si>
    <t>Total Project Costs (A, B, C, D, E, F, G, H, I, J)</t>
  </si>
  <si>
    <t>Program Activity</t>
  </si>
  <si>
    <t>Total</t>
  </si>
  <si>
    <t>PROGRAM ACTIVITY</t>
  </si>
  <si>
    <t>Line</t>
  </si>
  <si>
    <t>Description</t>
  </si>
  <si>
    <t>Year 5</t>
  </si>
  <si>
    <t>Number of units</t>
  </si>
  <si>
    <t xml:space="preserve">Project Manager </t>
  </si>
  <si>
    <t>Driver (2 @450)</t>
  </si>
  <si>
    <t>Personnel benefits- Christmas Bonus</t>
  </si>
  <si>
    <t>Personnel benefits - Severance National staff</t>
  </si>
  <si>
    <t xml:space="preserve">Vehicle insurance and taxes </t>
  </si>
  <si>
    <t>Accomodation/Travel for Training (50 HFs Zaire, 60 Uige, 140 HBO)</t>
  </si>
  <si>
    <t>Technical Officer- Training (3 people, 1 per province)</t>
  </si>
  <si>
    <t>Driver for training</t>
  </si>
  <si>
    <t>Accomodation/Travel for Partners (50 HFs Zaire, 60 Uige, 140 HBO)</t>
  </si>
  <si>
    <t>Local transport</t>
  </si>
  <si>
    <r>
      <t xml:space="preserve">Logistician (drugs and supplies) </t>
    </r>
    <r>
      <rPr>
        <b/>
        <sz val="10"/>
        <color indexed="10"/>
        <rFont val="Arial Narrow"/>
        <family val="2"/>
      </rPr>
      <t>WHAT IS THIS LINE FOR?</t>
    </r>
  </si>
  <si>
    <t xml:space="preserve">Vehicle Fuel- Goods </t>
  </si>
  <si>
    <r>
      <t xml:space="preserve">Local Freight (drugs, supplies) </t>
    </r>
    <r>
      <rPr>
        <b/>
        <sz val="10"/>
        <color indexed="10"/>
        <rFont val="Arial Narrow"/>
        <family val="2"/>
      </rPr>
      <t>WHAT IS THIS LINE FOR?</t>
    </r>
  </si>
  <si>
    <t xml:space="preserve">Office rent </t>
  </si>
  <si>
    <t>Generator purchase</t>
  </si>
  <si>
    <t>Technical Officers- MDA (3 people, 1 per province)</t>
  </si>
  <si>
    <t xml:space="preserve">National flights - Provincial travel </t>
  </si>
  <si>
    <t>Vehicle fuel (1 vehicles)</t>
  </si>
  <si>
    <t>Staff accommodation: rent, per diems travel</t>
  </si>
  <si>
    <t xml:space="preserve">Audit fees </t>
  </si>
  <si>
    <t xml:space="preserve">Vehicle maintenance (3 vehicles) </t>
  </si>
  <si>
    <r>
      <t xml:space="preserve">Stakeholder meeting costs - </t>
    </r>
    <r>
      <rPr>
        <b/>
        <sz val="10"/>
        <color indexed="10"/>
        <rFont val="Arial Narrow"/>
        <family val="2"/>
      </rPr>
      <t>TRAINING COSTS?</t>
    </r>
  </si>
  <si>
    <t>7% Overhead cost</t>
  </si>
  <si>
    <t>Sum of Total</t>
  </si>
  <si>
    <t>CATEGORY OF EXPENSES</t>
  </si>
  <si>
    <t>Dubai Care YR5</t>
  </si>
  <si>
    <t>;</t>
  </si>
  <si>
    <t>(blank)</t>
  </si>
  <si>
    <t>Sum of Total cost YEAR 2</t>
  </si>
  <si>
    <t>Sum of Total cost YEAR 3</t>
  </si>
  <si>
    <t>Dubai Care YR1</t>
  </si>
  <si>
    <t>Data</t>
  </si>
  <si>
    <t>Sum of P8</t>
  </si>
  <si>
    <t>Sum of P7</t>
  </si>
  <si>
    <t>Sum of P6</t>
  </si>
  <si>
    <t>Sum of P5</t>
  </si>
  <si>
    <t>Dubai Care YR2 &amp; Helmsley YR1</t>
  </si>
  <si>
    <t>Dubai Care YR3 &amp; Helmsley YR2</t>
  </si>
  <si>
    <t>Dubai Care YR4 &amp; Helmsley YR3</t>
  </si>
  <si>
    <t>HBO March</t>
  </si>
  <si>
    <t>ACTUAL Feb</t>
  </si>
  <si>
    <t>SAGA</t>
  </si>
  <si>
    <t>TOTAL YR1</t>
  </si>
  <si>
    <t>balance to carry forward</t>
  </si>
  <si>
    <t>no</t>
  </si>
  <si>
    <t>X</t>
  </si>
  <si>
    <t>LF Test</t>
  </si>
  <si>
    <t>NTD Capacity Building</t>
  </si>
  <si>
    <t>WASH</t>
  </si>
  <si>
    <t>Mass Drug Administration</t>
  </si>
  <si>
    <t>IEC/ACSM</t>
  </si>
  <si>
    <t>NTD Mapping</t>
  </si>
  <si>
    <t>1.1.1, 1.1.2, 2.1.3, 4.1.5</t>
  </si>
  <si>
    <t>2.1.1, 3.4.1, 3.4.2, 3.4.3</t>
  </si>
  <si>
    <t>2.1.2, 2.1.5</t>
  </si>
  <si>
    <t>2.1.4, 3.4.4</t>
  </si>
  <si>
    <t>3.1.1, 3.1.2</t>
  </si>
  <si>
    <t>4.1.1, 4.1.2</t>
  </si>
  <si>
    <t>3.1.3, 3.1.4, 3.1.5, 3.1.6, 3.1.7, 3.1.8, 3.2.1, 3.2.2, 3.2.3, 3.2.4, 3.3.1, 3.3.2</t>
  </si>
  <si>
    <t>4.1.3, 4.1.4</t>
  </si>
  <si>
    <t>1.1.3, 1.1.4</t>
  </si>
  <si>
    <t>YES</t>
  </si>
  <si>
    <r>
      <t xml:space="preserve">Vehicle Purchase (1 vehicle @ 55,000) </t>
    </r>
    <r>
      <rPr>
        <b/>
        <sz val="8"/>
        <color indexed="8"/>
        <rFont val="Calibri"/>
        <family val="2"/>
      </rPr>
      <t>- Huambo</t>
    </r>
  </si>
  <si>
    <r>
      <t xml:space="preserve">Vehicle Purchase (1 vehicle @ 55,000) </t>
    </r>
    <r>
      <rPr>
        <b/>
        <sz val="8"/>
        <color indexed="8"/>
        <rFont val="Calibri"/>
        <family val="2"/>
      </rPr>
      <t>- Uige</t>
    </r>
  </si>
  <si>
    <r>
      <t xml:space="preserve">Vehicle Purchase (1 vehicle @ 55,000) - </t>
    </r>
    <r>
      <rPr>
        <b/>
        <sz val="8"/>
        <color indexed="8"/>
        <rFont val="Calibri"/>
        <family val="2"/>
      </rPr>
      <t>Zaire</t>
    </r>
  </si>
  <si>
    <t>Audit</t>
  </si>
  <si>
    <t>Total general</t>
  </si>
  <si>
    <t>Suma de Audit</t>
  </si>
  <si>
    <t>P5 Actual</t>
  </si>
  <si>
    <t>P5 Budget</t>
  </si>
  <si>
    <t>P6 Budget</t>
  </si>
  <si>
    <t>P6 Actual</t>
  </si>
  <si>
    <t>P7 Budget</t>
  </si>
  <si>
    <t>P7 Actual</t>
  </si>
  <si>
    <t>P8 Budget</t>
  </si>
  <si>
    <t>P8 Actual</t>
  </si>
  <si>
    <t>1B-U</t>
  </si>
  <si>
    <t>1A-H</t>
  </si>
  <si>
    <t>1F-H</t>
  </si>
  <si>
    <t>1D-H</t>
  </si>
  <si>
    <t>1C-Z</t>
  </si>
  <si>
    <t>1E-H</t>
  </si>
  <si>
    <t>1G-H</t>
  </si>
  <si>
    <t>1J-H</t>
  </si>
  <si>
    <t>1I-H</t>
  </si>
  <si>
    <t>1H-H</t>
  </si>
  <si>
    <t>1J-U</t>
  </si>
  <si>
    <t>1L-Z</t>
  </si>
  <si>
    <t>1R-Z</t>
  </si>
  <si>
    <t>1U-Z</t>
  </si>
  <si>
    <t>1W-Z</t>
  </si>
  <si>
    <t>1Z-Z</t>
  </si>
  <si>
    <t>1P-H</t>
  </si>
  <si>
    <t>1S-H</t>
  </si>
  <si>
    <t>1V-H</t>
  </si>
  <si>
    <t>1Q-U</t>
  </si>
  <si>
    <t>1T-U</t>
  </si>
  <si>
    <t>1W-U</t>
  </si>
  <si>
    <t>Personnel benefits - Staff insurance - Zaire</t>
  </si>
  <si>
    <t>1Y-U</t>
  </si>
  <si>
    <t>Personnel benefits - Staff insurance - Uige</t>
  </si>
  <si>
    <t>1X-H</t>
  </si>
  <si>
    <t>Personnel benefits - Staff insurance - Huambo</t>
  </si>
  <si>
    <t>1AB-L</t>
  </si>
  <si>
    <t>1AA-L</t>
  </si>
  <si>
    <t>1AC-L</t>
  </si>
  <si>
    <t>1AD-L</t>
  </si>
  <si>
    <t>1AE-H</t>
  </si>
  <si>
    <t>1AF-U</t>
  </si>
  <si>
    <t>1AG-Z</t>
  </si>
  <si>
    <t>1AH-L</t>
  </si>
  <si>
    <t>1M-H / 1N-U / 1O-Z</t>
  </si>
  <si>
    <t>2A-H</t>
  </si>
  <si>
    <t>2B-H</t>
  </si>
  <si>
    <t>2C-H</t>
  </si>
  <si>
    <t>2D-H</t>
  </si>
  <si>
    <t>2E-H</t>
  </si>
  <si>
    <t>3A-H</t>
  </si>
  <si>
    <t>3B-H</t>
  </si>
  <si>
    <t>3C-H</t>
  </si>
  <si>
    <t>3D-L</t>
  </si>
  <si>
    <t>3E-U</t>
  </si>
  <si>
    <t>3J-H</t>
  </si>
  <si>
    <t>3K-H</t>
  </si>
  <si>
    <t>3I-H</t>
  </si>
  <si>
    <t>3L-U</t>
  </si>
  <si>
    <t>3M-Z</t>
  </si>
  <si>
    <t>3N-H</t>
  </si>
  <si>
    <t>3O-U</t>
  </si>
  <si>
    <t>3P-Z</t>
  </si>
  <si>
    <t>3Q-H</t>
  </si>
  <si>
    <t>3R-U</t>
  </si>
  <si>
    <t>3S-Z</t>
  </si>
  <si>
    <t>3T-H</t>
  </si>
  <si>
    <t>3U-H</t>
  </si>
  <si>
    <t>3V-U</t>
  </si>
  <si>
    <t>3W-U</t>
  </si>
  <si>
    <t>3X-Z</t>
  </si>
  <si>
    <t>3Y-Z</t>
  </si>
  <si>
    <t>3AD-U</t>
  </si>
  <si>
    <t>3AC-H</t>
  </si>
  <si>
    <t>11H-H</t>
  </si>
  <si>
    <t>11I-U</t>
  </si>
  <si>
    <t>11J-Z</t>
  </si>
  <si>
    <t>12Y-H</t>
  </si>
  <si>
    <t>12X-H</t>
  </si>
  <si>
    <t>12M-H</t>
  </si>
  <si>
    <t>9I-H</t>
  </si>
  <si>
    <t>9F-H</t>
  </si>
  <si>
    <t>9G-U</t>
  </si>
  <si>
    <t>9H-Z</t>
  </si>
  <si>
    <t>9B-Z</t>
  </si>
  <si>
    <t>9A-Z</t>
  </si>
  <si>
    <t>9C-H</t>
  </si>
  <si>
    <t>9D-U</t>
  </si>
  <si>
    <t>9E-Z</t>
  </si>
  <si>
    <t>3AA-H</t>
  </si>
  <si>
    <t>4D-H</t>
  </si>
  <si>
    <t>4E-U</t>
  </si>
  <si>
    <t>4F-Z</t>
  </si>
  <si>
    <t>8A-H</t>
  </si>
  <si>
    <t>8B-U</t>
  </si>
  <si>
    <t>8C-Z</t>
  </si>
  <si>
    <t>12T-H</t>
  </si>
  <si>
    <t>3AE-Z / 3AB-U</t>
  </si>
  <si>
    <t>12N-H</t>
  </si>
  <si>
    <t>9J-H</t>
  </si>
  <si>
    <t>9K-U</t>
  </si>
  <si>
    <t>9L-Z</t>
  </si>
  <si>
    <t>3AG-U</t>
  </si>
  <si>
    <t>3AJ-U</t>
  </si>
  <si>
    <t>5B-U</t>
  </si>
  <si>
    <t>5A-H</t>
  </si>
  <si>
    <t>3AF-H</t>
  </si>
  <si>
    <t>3AH-Z</t>
  </si>
  <si>
    <t>3AK-Z</t>
  </si>
  <si>
    <t>3AI-H</t>
  </si>
  <si>
    <t>5C-Z</t>
  </si>
  <si>
    <t>12A-H</t>
  </si>
  <si>
    <t>12B-H</t>
  </si>
  <si>
    <t>12C-H</t>
  </si>
  <si>
    <t>12D-H</t>
  </si>
  <si>
    <t>12E-H</t>
  </si>
  <si>
    <t>12F-H</t>
  </si>
  <si>
    <t>12G-H</t>
  </si>
  <si>
    <t>12H-H</t>
  </si>
  <si>
    <t>6J-H</t>
  </si>
  <si>
    <t>6K-H</t>
  </si>
  <si>
    <t>10E-H</t>
  </si>
  <si>
    <t>10F-H</t>
  </si>
  <si>
    <t>10G-H</t>
  </si>
  <si>
    <t>10H-H</t>
  </si>
  <si>
    <t>3AL-H / 3AM-U / 3AN-Z</t>
  </si>
  <si>
    <t>10D-H</t>
  </si>
  <si>
    <t>5L-Z</t>
  </si>
  <si>
    <t>5K-U</t>
  </si>
  <si>
    <t>5J-H</t>
  </si>
  <si>
    <t>10A.-H / 10B-U / 10C-Z</t>
  </si>
  <si>
    <t>3G-U</t>
  </si>
  <si>
    <t>3H-Z</t>
  </si>
  <si>
    <t>3F-H</t>
  </si>
  <si>
    <t>12Q-H</t>
  </si>
  <si>
    <t>12S-H</t>
  </si>
  <si>
    <t>7G-H</t>
  </si>
  <si>
    <t>7L-H</t>
  </si>
  <si>
    <t>7M-H</t>
  </si>
  <si>
    <t>7N-H</t>
  </si>
  <si>
    <t>7R-L</t>
  </si>
  <si>
    <t>6O-H / 6P-U / 6Q-Z</t>
  </si>
  <si>
    <t>4A-H</t>
  </si>
  <si>
    <t>4B-U</t>
  </si>
  <si>
    <t>4C-Z</t>
  </si>
  <si>
    <t>5F-Z</t>
  </si>
  <si>
    <t>5E-U</t>
  </si>
  <si>
    <t>5D-H</t>
  </si>
  <si>
    <t>5H-U</t>
  </si>
  <si>
    <t>5I-Z</t>
  </si>
  <si>
    <t>5G-H</t>
  </si>
  <si>
    <t>7A-H</t>
  </si>
  <si>
    <t>7D-L</t>
  </si>
  <si>
    <t>7A-H / 7B-U / 7C-Z</t>
  </si>
  <si>
    <t>7E-H / 7F-U / 7G-Z</t>
  </si>
  <si>
    <t>7H-H / 7J-U / 7K-Z</t>
  </si>
  <si>
    <t>12R-H</t>
  </si>
  <si>
    <t>12U-H</t>
  </si>
  <si>
    <t>12V-H</t>
  </si>
  <si>
    <t>12W-H</t>
  </si>
  <si>
    <t>8D-H</t>
  </si>
  <si>
    <t>8E-U</t>
  </si>
  <si>
    <t>8F-Z</t>
  </si>
  <si>
    <t>7O-H</t>
  </si>
  <si>
    <t>7O-H / 7P-U / 7Q-Z</t>
  </si>
  <si>
    <t>11A-H / 11B-U / 11C-Z</t>
  </si>
  <si>
    <t>11D-H</t>
  </si>
  <si>
    <t>11E-H</t>
  </si>
  <si>
    <t>11F-U</t>
  </si>
  <si>
    <t>11G-Z</t>
  </si>
  <si>
    <t>12O-H</t>
  </si>
  <si>
    <t>12P-H</t>
  </si>
  <si>
    <t>6L-H</t>
  </si>
  <si>
    <t>6L-H / 6M-U / 6N-Z</t>
  </si>
  <si>
    <t>6R-H</t>
  </si>
  <si>
    <t>6S-U</t>
  </si>
  <si>
    <t>6T-Z</t>
  </si>
  <si>
    <t>6U</t>
  </si>
  <si>
    <t>6A-H</t>
  </si>
  <si>
    <t>6B-U</t>
  </si>
  <si>
    <t>6C-Z</t>
  </si>
  <si>
    <t>6D-H</t>
  </si>
  <si>
    <t>6E-U</t>
  </si>
  <si>
    <t>6F-Z</t>
  </si>
  <si>
    <t>6G-H</t>
  </si>
  <si>
    <t>6H-U</t>
  </si>
  <si>
    <t>6I-Z</t>
  </si>
  <si>
    <t>12I-H</t>
  </si>
  <si>
    <t>12J-H</t>
  </si>
  <si>
    <t>12K-H</t>
  </si>
  <si>
    <t>12L-H</t>
  </si>
  <si>
    <t>Actual</t>
  </si>
  <si>
    <t>Monitoring, Evaluation &amp; Reporting Officer - 3 Provinces</t>
  </si>
  <si>
    <t>1M-H</t>
  </si>
  <si>
    <t>Data Base clerk - Huambo</t>
  </si>
  <si>
    <t>Production of technical guidelines and IEC materials -  Huambo</t>
  </si>
  <si>
    <t>Hygiene promotion equipment (printed material, t-shirts, posters, manuals etc…) - Huambo</t>
  </si>
  <si>
    <t>6O-H</t>
  </si>
  <si>
    <t>Incentive / meals for children receiving Praziquantel - Huambo</t>
  </si>
  <si>
    <t>Visibility supplies (posters, pamphlets, shirts, stickers...) - Huambo</t>
  </si>
  <si>
    <t>Driver (1 @500) - Huambo</t>
  </si>
  <si>
    <t>Local transport - Huambo</t>
  </si>
  <si>
    <t>Warehouse rent and maintenance  -Huambo</t>
  </si>
  <si>
    <t>Local Freight (drugs, supplies) - Huambo</t>
  </si>
  <si>
    <t>Drugs for MDAs - contingency stock - 3 provinces</t>
  </si>
  <si>
    <t>Community drugs distributors - Huambo</t>
  </si>
  <si>
    <t>International freight - drug contingency stocks - Huambo</t>
  </si>
  <si>
    <t>Vehicle Purchase (1 vehicles @ 55,000) - Huambo</t>
  </si>
  <si>
    <t>Accomodation/Travel for Partners / Meetings- Huambo -  Provincial directors</t>
  </si>
  <si>
    <t>NTD meetings and training costs-Luanda - Huambo</t>
  </si>
  <si>
    <t>Accomodation for Training</t>
  </si>
  <si>
    <t>Local freight (drugs, supplies)</t>
  </si>
  <si>
    <t>Vehicle insurance and taxes  - Luanda</t>
  </si>
  <si>
    <t>Payroll taxes &amp; social security (INSS) - Huambo</t>
  </si>
  <si>
    <t>Personnel benefits- Christmas Bonus &amp; holiday bonus - Huambo</t>
  </si>
  <si>
    <t>Personnel benefits - Severance National staff - Huambo</t>
  </si>
  <si>
    <t>Vehicle maintenance, spare parts and repair (2 vehicle)  - Huambo</t>
  </si>
  <si>
    <t>Office rent Huambo</t>
  </si>
  <si>
    <t>7E-H</t>
  </si>
  <si>
    <t>Office running costs (utilities and maintenance) Huambo</t>
  </si>
  <si>
    <t>7H-H</t>
  </si>
  <si>
    <t>Communications running costs (telephone, sat phone, internet, courrier)-Huambo</t>
  </si>
  <si>
    <t>Printer copier -</t>
  </si>
  <si>
    <t>10A.-H</t>
  </si>
  <si>
    <t>In Country Living Allowance (ICLA) - Huambo</t>
  </si>
  <si>
    <t>11A-H</t>
  </si>
  <si>
    <t>Bank charges- Huambo</t>
  </si>
  <si>
    <t>Vehicle insurance and taxes 6 vehicles - Huambo - Uige - Zaire</t>
  </si>
  <si>
    <t>Programme Coordinators 100% - Huambo</t>
  </si>
  <si>
    <t>Project Manager - Huambo</t>
  </si>
  <si>
    <t>3AL-H</t>
  </si>
  <si>
    <t>Technical supervisors support to Provincial Direction of Health - Huambo</t>
  </si>
  <si>
    <t>National flights - Provincial travel - Huambo</t>
  </si>
  <si>
    <t>Technical Supervisors- MDA, IEC &amp; community interventions - Huambo</t>
  </si>
  <si>
    <t>M&amp;E Supplies (data software, ledger books, supplies) - Huambo</t>
  </si>
  <si>
    <t>Vehicle Rent (1 vehicles @3200/month) - Huambo</t>
  </si>
  <si>
    <t>Vehicle insurance and taxes - Huambo</t>
  </si>
  <si>
    <t>Vehicle Fuel - Huambo</t>
  </si>
  <si>
    <t>Vehicle maintenance, spare parts and repair for programme vehicles - Huambo</t>
  </si>
  <si>
    <t>Driver (1@500) - Huambo</t>
  </si>
  <si>
    <t>Driver (1@500)  - Huambo</t>
  </si>
  <si>
    <t>Training logistics costs (paper, pens, slideshow, etc) - Huambo</t>
  </si>
  <si>
    <t>Training room rental - Huambo</t>
  </si>
  <si>
    <t>Accomodation/Travel for Partners / Training of trainers NTD</t>
  </si>
  <si>
    <t>Accomodation/Travel for Training 140 HF-Huambo</t>
  </si>
  <si>
    <t>Technical Supervisor-Training  - Huambo</t>
  </si>
  <si>
    <t>Technical Supervisor-Health facility supervisions - Huambo</t>
  </si>
  <si>
    <t>Program Coordinator-WASH - 3 Provinces</t>
  </si>
  <si>
    <t>Hygiene kits for the schools - Huambo</t>
  </si>
  <si>
    <t>Technical Supervisors-WASH - Huambo</t>
  </si>
  <si>
    <t>Driver (1 @500) -Huambo</t>
  </si>
  <si>
    <t>Monitoring, Evaluation &amp; Reporting Officer-Support to the National NTD Program, based in Luanda - MA</t>
  </si>
  <si>
    <t>Driver (1 @750) - Luanda - Logistic assistant</t>
  </si>
  <si>
    <t>Vehicle Fuel - Luanda</t>
  </si>
  <si>
    <t>1N-U</t>
  </si>
  <si>
    <t>Data Base clerk - Uige</t>
  </si>
  <si>
    <t>3AB-U</t>
  </si>
  <si>
    <t>Production of technical guidelines and IEC materials - Uige</t>
  </si>
  <si>
    <t>Hygiene promotion equipment (printed material, t-shirts, posters, manuals etc…) - Uige</t>
  </si>
  <si>
    <t>6P-U</t>
  </si>
  <si>
    <t>Incentive / meals for children receiving Praziquantel - Uige</t>
  </si>
  <si>
    <t>Visibility supplies (posters, pamphlets, shirts, stickers...) - Uige</t>
  </si>
  <si>
    <t>Office supplies, printing &amp; copying - Uige</t>
  </si>
  <si>
    <t>Driver (2 @500)  - Uige</t>
  </si>
  <si>
    <t>Local transport - Uige</t>
  </si>
  <si>
    <t>Warehouse rent and maintenance - Uige</t>
  </si>
  <si>
    <t>Local Freight (drugs, supplies) - Uige</t>
  </si>
  <si>
    <t>6M-U</t>
  </si>
  <si>
    <t>Community drugs distributors - Uige</t>
  </si>
  <si>
    <t>International freight - drug contingency stocks - Uige</t>
  </si>
  <si>
    <t>Vehicle Purchase (1 vehicles @ 55,000) - Uige</t>
  </si>
  <si>
    <t>Accomodation/Travel for Partners / Meetings - Uige</t>
  </si>
  <si>
    <t>NTD meetings and training costs-Luanda - Uige / Provincial coordinator and MENTOR manager</t>
  </si>
  <si>
    <t>Payroll taxes &amp; social security (INSS) - Uige</t>
  </si>
  <si>
    <t>Personnel benefits- Christmas Bonus &amp; holiday bonus - Uige</t>
  </si>
  <si>
    <t>Personnel benefits - Severance National staff - Uige</t>
  </si>
  <si>
    <t>Vehicle maintenance, spare parts and repair (2 vehicle)  - Uige</t>
  </si>
  <si>
    <t>7B-U</t>
  </si>
  <si>
    <t>Office rent Uige</t>
  </si>
  <si>
    <t>7F-U</t>
  </si>
  <si>
    <t>Office running costs (utilities and maintenance) Uige</t>
  </si>
  <si>
    <t>7J-U</t>
  </si>
  <si>
    <t>Communications running costs (telephone, sat phone, internet, courrier) Uige</t>
  </si>
  <si>
    <t>7P-U</t>
  </si>
  <si>
    <t>10B-U</t>
  </si>
  <si>
    <t>In Country Living Allowance (ICLA) - Uige</t>
  </si>
  <si>
    <t>11B-U</t>
  </si>
  <si>
    <t>Bank charges- Uige</t>
  </si>
  <si>
    <t>Vehicle  (2 cars) - Uige - Taxes</t>
  </si>
  <si>
    <t>Programme Coordinators 100% - Uige</t>
  </si>
  <si>
    <t>Project Manager - Uige</t>
  </si>
  <si>
    <t>3AM-U</t>
  </si>
  <si>
    <t>Technical supervisors support to Provincial Direction of Health - Uige</t>
  </si>
  <si>
    <t>National flights - Provincial travel - Uige</t>
  </si>
  <si>
    <t>Technical Supervisors- MDA, IEC &amp; community interventions - Uige</t>
  </si>
  <si>
    <t>M&amp;E Supplies (data software, ledger books, supplies) - Uige</t>
  </si>
  <si>
    <t>Vehicle Fuel - Uige</t>
  </si>
  <si>
    <t>Driver (1@500)  - Uige</t>
  </si>
  <si>
    <t>Training logistics costs (paper, pens, slideshow, etc) - Uige</t>
  </si>
  <si>
    <t>Training room rental - Uige</t>
  </si>
  <si>
    <t>Accomodation/Travel for Partners / Training of trainers NTD - Uige</t>
  </si>
  <si>
    <t>Accomodation/Travel for Training  60 HF Uige</t>
  </si>
  <si>
    <t>Technical Supervisor-Training  - Uige</t>
  </si>
  <si>
    <t>Technical Supervisor-Health facility supervisions - Uige</t>
  </si>
  <si>
    <t>Hygiene kits for the schools - Uige</t>
  </si>
  <si>
    <t>Technical Supervisors-WASH - Uige</t>
  </si>
  <si>
    <t>Vehicle Rent (1 vehicles @3200/month) - Uige</t>
  </si>
  <si>
    <t>Driver (1 @500) - Uige</t>
  </si>
  <si>
    <t>1O-Z</t>
  </si>
  <si>
    <t>Data Base clerk - Zaire</t>
  </si>
  <si>
    <t>Vehicle Rent-M&amp;E - Zaire</t>
  </si>
  <si>
    <t>Vehicle fuel - Zaire</t>
  </si>
  <si>
    <t>Hygiene promotion equipment (printed material, t-shirts, posters, manuals etc…) - Zaire</t>
  </si>
  <si>
    <t>6Q-Z</t>
  </si>
  <si>
    <t>Incentive / meals for children receiving Praziquantel - Zaire</t>
  </si>
  <si>
    <t>Visibility supplies (posters, pamphlets, shirts, stickers...) - Zaire</t>
  </si>
  <si>
    <t>Driver (2 @500) - Zaire</t>
  </si>
  <si>
    <t>Local transport - Zaire</t>
  </si>
  <si>
    <t>Warehouse rent and maintenance - Zaire</t>
  </si>
  <si>
    <t>Local Freight (drugs, supplies) - Zaire</t>
  </si>
  <si>
    <t>6N-Z</t>
  </si>
  <si>
    <t>Community drugs distributors - Zaire</t>
  </si>
  <si>
    <t>International freight - drug contingency stocks - Zaire</t>
  </si>
  <si>
    <t>Vehicle Purchase (1 vehicles @ 55,000) - Zaire</t>
  </si>
  <si>
    <t>Accomodation/Travel for Partners / Meetings - Zaire</t>
  </si>
  <si>
    <t>NTD meetings and training costs-Luanda - Zaire</t>
  </si>
  <si>
    <t>Payroll taxes &amp; social security (INSS) - Zaire</t>
  </si>
  <si>
    <t>Personnel benefits- Christmas Bonus &amp; holiday bonus - Zaire</t>
  </si>
  <si>
    <t>Personnel benefits - Severance National staff - Zaire</t>
  </si>
  <si>
    <t>Vehicle maintenance, spare parts and repair (2 vehicle)  - Zaire</t>
  </si>
  <si>
    <t>7C-Z</t>
  </si>
  <si>
    <t>Office rent Zaire</t>
  </si>
  <si>
    <t>7G-Z</t>
  </si>
  <si>
    <t>Office running costs (utilities and maintenance) Zaire</t>
  </si>
  <si>
    <t>7K-Z</t>
  </si>
  <si>
    <t>Communications running costs (telephone, sat phone, internet, courrier)- Zaire</t>
  </si>
  <si>
    <t>7Q-Z</t>
  </si>
  <si>
    <t>Generator fuel - Zaire</t>
  </si>
  <si>
    <t>10C-Z</t>
  </si>
  <si>
    <t>In Country Living Allowance (ICLA) - Zaire</t>
  </si>
  <si>
    <t>11C-Z</t>
  </si>
  <si>
    <t>Bank charges- Zaire</t>
  </si>
  <si>
    <t>Vehicle  (2 cars) - Zaire - Taxes</t>
  </si>
  <si>
    <t>Programme Coordinators 100% - Zaire</t>
  </si>
  <si>
    <t>Project Manager - Zaire -</t>
  </si>
  <si>
    <t>3AN-Z</t>
  </si>
  <si>
    <t>Technical supervisors support to Provincial Direction of Health - Zaire</t>
  </si>
  <si>
    <t>National flights - Provincial travel - Zaire</t>
  </si>
  <si>
    <t>Technical Supervisors- MDA, IEC &amp; community interventions - Zaire</t>
  </si>
  <si>
    <t>M&amp;E Supplies (data software, ledger books, supplies) - Zaire</t>
  </si>
  <si>
    <t>Driver (1@500)  - Zaire</t>
  </si>
  <si>
    <t>Training logistics costs (paper, pens, slideshow, etc) - Zaire</t>
  </si>
  <si>
    <t>Training room rental - Zaire</t>
  </si>
  <si>
    <t>Accomodation/Travel for Partners / Training of trainers NTD - Zaire</t>
  </si>
  <si>
    <t>3AE-Z</t>
  </si>
  <si>
    <t>Accomodation/Travel for Training 50 HF Zaire</t>
  </si>
  <si>
    <t>Technical Supervisor-Training  - Zaire</t>
  </si>
  <si>
    <t>Technical Supervisor-Health facility supervisions - Zaire</t>
  </si>
  <si>
    <t>Hygiene kits for the schools - Zaire</t>
  </si>
  <si>
    <t>Technical Supervisors-WASH - Zaire</t>
  </si>
  <si>
    <t>Vehicle Rent (1 vehicles @3200/month) - Zaire</t>
  </si>
  <si>
    <t>Driver (1 @500)  - Zaire</t>
  </si>
  <si>
    <t>Vehicle Rent (1 vehicle @3200 a month) - Uige</t>
  </si>
  <si>
    <t>IDC</t>
  </si>
  <si>
    <t>GRAND TOTAL</t>
  </si>
  <si>
    <t>Budget lines</t>
  </si>
  <si>
    <t>MENTOR BdgLine</t>
  </si>
  <si>
    <t>Helmsley  Categories</t>
  </si>
  <si>
    <t>Programme Year to Date</t>
  </si>
  <si>
    <t xml:space="preserve"> Budget %</t>
  </si>
  <si>
    <t>EF 080194 / EF1ANG-YR3</t>
  </si>
  <si>
    <t>Grant Period: 26/03/2013 to 31/03/2018</t>
  </si>
  <si>
    <t>Country Director: Johan Willems</t>
  </si>
  <si>
    <t>P9</t>
  </si>
  <si>
    <t>P10</t>
  </si>
  <si>
    <t>P11</t>
  </si>
  <si>
    <t>P12</t>
  </si>
  <si>
    <t>Category of Expenses</t>
  </si>
  <si>
    <t>April</t>
  </si>
  <si>
    <t>May</t>
  </si>
  <si>
    <t>June</t>
  </si>
  <si>
    <t>July</t>
  </si>
  <si>
    <t>Aug</t>
  </si>
  <si>
    <t>Sept</t>
  </si>
  <si>
    <t>Oct</t>
  </si>
  <si>
    <t>Nov</t>
  </si>
  <si>
    <t>Dec</t>
  </si>
  <si>
    <t xml:space="preserve">Jan </t>
  </si>
  <si>
    <t>Feb</t>
  </si>
  <si>
    <t>Mar</t>
  </si>
  <si>
    <t>Central</t>
  </si>
  <si>
    <t>Bie</t>
  </si>
  <si>
    <t>Total Direct Costs</t>
  </si>
  <si>
    <t>EF 080194 / EF1ANG-YR4</t>
  </si>
  <si>
    <t>April 1st, 2016 - March 31st, 2017</t>
  </si>
  <si>
    <t>NICRA</t>
  </si>
  <si>
    <t>P9 Budget</t>
  </si>
  <si>
    <t>P9 Actual</t>
  </si>
  <si>
    <t>P11 Budget</t>
  </si>
  <si>
    <t>P11 Actual</t>
  </si>
  <si>
    <t>P12 Budget</t>
  </si>
  <si>
    <t>P12 Actual</t>
  </si>
  <si>
    <t>P13 Budget</t>
  </si>
  <si>
    <t>P14 Actual</t>
  </si>
  <si>
    <t>P13</t>
  </si>
  <si>
    <t>P14</t>
  </si>
  <si>
    <t>P15</t>
  </si>
  <si>
    <t>P16</t>
  </si>
  <si>
    <t>P10 Budget</t>
  </si>
  <si>
    <t>P10 Actual</t>
  </si>
  <si>
    <t>P13 Actual</t>
  </si>
  <si>
    <t>P14 Budget</t>
  </si>
  <si>
    <t>P15 Budget</t>
  </si>
  <si>
    <t>P15 Actual</t>
  </si>
  <si>
    <t>P16 Budget</t>
  </si>
  <si>
    <t>P16 Actual</t>
  </si>
  <si>
    <t xml:space="preserve"> </t>
  </si>
  <si>
    <t>Luanda</t>
  </si>
  <si>
    <t>National workshop</t>
  </si>
  <si>
    <t>Provincial workshop</t>
  </si>
  <si>
    <t>xx</t>
  </si>
  <si>
    <t>xxx</t>
  </si>
  <si>
    <t>z</t>
  </si>
  <si>
    <t>y</t>
  </si>
  <si>
    <t>p</t>
  </si>
  <si>
    <t>g</t>
  </si>
  <si>
    <t>h</t>
  </si>
  <si>
    <t>ok</t>
  </si>
  <si>
    <t>Cost share - national</t>
  </si>
  <si>
    <t>WL5</t>
  </si>
  <si>
    <t>WL6</t>
  </si>
  <si>
    <t>WL7</t>
  </si>
  <si>
    <t>EM</t>
  </si>
  <si>
    <t>PSI</t>
  </si>
  <si>
    <t>EF</t>
  </si>
  <si>
    <t>Costs per MDA - Huambo</t>
  </si>
  <si>
    <t>Costs per MDA - Bie</t>
  </si>
  <si>
    <t>Expense</t>
  </si>
  <si>
    <t>Total quantity</t>
  </si>
  <si>
    <t>Total Cost</t>
  </si>
  <si>
    <t>Com</t>
  </si>
  <si>
    <t>Advocacy &amp; mobilization</t>
  </si>
  <si>
    <t>Train</t>
  </si>
  <si>
    <t>Facilitator costs (fee, transport, accommodation)</t>
  </si>
  <si>
    <t>Trainee kit, supplies</t>
  </si>
  <si>
    <t>Trainee food</t>
  </si>
  <si>
    <t>Trainee transport</t>
  </si>
  <si>
    <t>Ben</t>
  </si>
  <si>
    <t>Food for PZQ distribution in 6 municip</t>
  </si>
  <si>
    <t>Staff accomm (1 weeks, 3 staff)</t>
  </si>
  <si>
    <t>Staff accomm (5 weeks, 3 staff)</t>
  </si>
  <si>
    <t>Staff per diem (1 weeks, 3 staff)</t>
  </si>
  <si>
    <t>Staff per diem (5 weeks, 3 staff)</t>
  </si>
  <si>
    <t>DPS staff per diem (avg 4 weeks, 2 staff)</t>
  </si>
  <si>
    <t>DPS staff per diem (avg  5 weeks, 2 staff)</t>
  </si>
  <si>
    <t>I&amp;E</t>
  </si>
  <si>
    <t>Vehicle fuel</t>
  </si>
  <si>
    <t>Costs per MDA - Uige (ALB + IVM + PZQ)</t>
  </si>
  <si>
    <t>Costs per MDA - Uige (ALB)</t>
  </si>
  <si>
    <t>Community distributors 5 municip Oncho</t>
  </si>
  <si>
    <t>Staff accomm (4 weeks, 5 staff)</t>
  </si>
  <si>
    <t>Staff per diem (4 weeks, 5 staff)</t>
  </si>
  <si>
    <t>Costs per MDA - other provinces</t>
  </si>
  <si>
    <t>Costs per MDA - Zaire</t>
  </si>
  <si>
    <t>Assessment visit</t>
  </si>
  <si>
    <t>CDTI</t>
  </si>
  <si>
    <t>Staff accomm (4 weeks, 3 staff)</t>
  </si>
  <si>
    <t>Staff accomm (over 7 weeks)</t>
  </si>
  <si>
    <t>Staff per diem (4 weeks, 3 staff)</t>
  </si>
  <si>
    <t>Staff per diem (over  7 weeks)</t>
  </si>
  <si>
    <t>DPS staff per diem ( 2 for avg 4 weeks)</t>
  </si>
  <si>
    <t>Super</t>
  </si>
  <si>
    <r>
      <t xml:space="preserve">Post </t>
    </r>
    <r>
      <rPr>
        <sz val="8"/>
        <rFont val="Arial"/>
        <family val="2"/>
      </rPr>
      <t>training supervisions</t>
    </r>
  </si>
  <si>
    <t>see separate Supervisions sheet</t>
  </si>
  <si>
    <t>Post training supervisions</t>
  </si>
  <si>
    <t>MDA supervisions</t>
  </si>
  <si>
    <t>see MDA sheet</t>
  </si>
  <si>
    <t>Meds</t>
  </si>
  <si>
    <t>Extra medicines (lumpsum)</t>
  </si>
  <si>
    <t>lumpsum in line with original budget</t>
  </si>
  <si>
    <t>Admin</t>
  </si>
  <si>
    <t xml:space="preserve">Office &amp; accom furnishings </t>
  </si>
  <si>
    <t>See breakdown below</t>
  </si>
  <si>
    <t>Unit Price</t>
  </si>
  <si>
    <t>Office &amp; acc furnishings</t>
  </si>
  <si>
    <t>Desk CD</t>
  </si>
  <si>
    <t>Shelfs for stock keeping</t>
  </si>
  <si>
    <t>Office refurbishing (paint)</t>
  </si>
  <si>
    <t>Jun</t>
  </si>
  <si>
    <t>Tables for meeting room</t>
  </si>
  <si>
    <t>Chairs for meeting room</t>
  </si>
  <si>
    <t>Sofa Residence</t>
  </si>
  <si>
    <t>Shelfs residence</t>
  </si>
  <si>
    <t>Kitchenware various</t>
  </si>
  <si>
    <t>Desks</t>
  </si>
  <si>
    <t xml:space="preserve">Shelfs </t>
  </si>
  <si>
    <t>Office chairs</t>
  </si>
  <si>
    <t>Other furnishings</t>
  </si>
  <si>
    <t>Bed, nighttable, cupboard</t>
  </si>
  <si>
    <t>Table &amp; chairs (kitchen &amp; livingroom)</t>
  </si>
  <si>
    <t>Sofa set</t>
  </si>
  <si>
    <t>lumpsum - no specific needs  identified</t>
  </si>
  <si>
    <t>Shelfs</t>
  </si>
  <si>
    <t>Cupboard</t>
  </si>
  <si>
    <t>Safe</t>
  </si>
  <si>
    <t>IT &amp; Comm equipment (all bases)</t>
  </si>
  <si>
    <t>Laptops Bie + software</t>
  </si>
  <si>
    <t>Desktop Bie + software</t>
  </si>
  <si>
    <t>Printer Bie</t>
  </si>
  <si>
    <t>Laptop spare</t>
  </si>
  <si>
    <t>Jul</t>
  </si>
  <si>
    <t>Telephone</t>
  </si>
  <si>
    <t>car radios</t>
  </si>
  <si>
    <t>IT accessories (screen, keyboard, etc)</t>
  </si>
  <si>
    <t>Veh insurance &amp; taxes (all cars); national and international</t>
  </si>
  <si>
    <t>LBE-02-29</t>
  </si>
  <si>
    <t>LBE-02-25</t>
  </si>
  <si>
    <t>LBE-02-28</t>
  </si>
  <si>
    <t>LBE-02-30</t>
  </si>
  <si>
    <t>LD-22-26EV</t>
  </si>
  <si>
    <t>LBE-02-32</t>
  </si>
  <si>
    <t>LD-22-29EV</t>
  </si>
  <si>
    <t>LBE-02-33</t>
  </si>
  <si>
    <t>LBE-0226</t>
  </si>
  <si>
    <t>TBD</t>
  </si>
  <si>
    <t>Vehicle Insurance and taxes (all)</t>
  </si>
  <si>
    <t>Vehicle Maintenance &amp; repair</t>
  </si>
  <si>
    <t>3 cars</t>
  </si>
  <si>
    <t>Vehicle fuel &amp; local transport</t>
  </si>
  <si>
    <t>including for MDA in Huambo + other provinces</t>
  </si>
  <si>
    <t>Vehicle running (Maint, repair, fuel)</t>
  </si>
  <si>
    <t>1 car</t>
  </si>
  <si>
    <t>including for MDA</t>
  </si>
  <si>
    <t>2 cars</t>
  </si>
  <si>
    <t>Generator maintenance</t>
  </si>
  <si>
    <t>3 generators (50%)</t>
  </si>
  <si>
    <t>Generator running (Maint, repair, fuel)</t>
  </si>
  <si>
    <t>1 generator</t>
  </si>
  <si>
    <t>2 generators (50%)</t>
  </si>
  <si>
    <t>2 generators (50%0</t>
  </si>
  <si>
    <t>Vehicle rental (lump sum)</t>
  </si>
  <si>
    <t>Vehicle fuel MDA</t>
  </si>
  <si>
    <t>details see MDA sheet</t>
  </si>
  <si>
    <t>MDA training</t>
  </si>
  <si>
    <t>T&amp;W</t>
  </si>
  <si>
    <t>Training HF staff</t>
  </si>
  <si>
    <t>details see separate doc</t>
  </si>
  <si>
    <t>Training teachers</t>
  </si>
  <si>
    <t>Contribution to NTD national stakeholder meeting</t>
  </si>
  <si>
    <t>contribution to NTD provincial stakeholder meeting</t>
  </si>
  <si>
    <t>Hygiene kits for schools</t>
  </si>
  <si>
    <t>In conjunction with WASHE training of teachers</t>
  </si>
  <si>
    <t>Food for PZQ distribution</t>
  </si>
  <si>
    <t>Sample Hygiene Kit</t>
  </si>
  <si>
    <t>Nº</t>
  </si>
  <si>
    <t>Quant.</t>
  </si>
  <si>
    <t>Price</t>
  </si>
  <si>
    <t>rake</t>
  </si>
  <si>
    <t>spade</t>
  </si>
  <si>
    <t>hoe</t>
  </si>
  <si>
    <t>20 l canister</t>
  </si>
  <si>
    <t>50 l bucket</t>
  </si>
  <si>
    <t>jugs</t>
  </si>
  <si>
    <t>Soap pack</t>
  </si>
  <si>
    <t>See MDA sheet</t>
  </si>
  <si>
    <t xml:space="preserve">Assumption 2 other provinces Mobile MDA </t>
  </si>
  <si>
    <t>IEC materials</t>
  </si>
  <si>
    <t>See separate document for calculations</t>
  </si>
  <si>
    <t>Rent Office &amp; Staff accommodation</t>
  </si>
  <si>
    <t>P&amp;A</t>
  </si>
  <si>
    <t>Rent Office &amp; staff accom</t>
  </si>
  <si>
    <t>Office (50%) + residence (50%) + NTD residence (100%)</t>
  </si>
  <si>
    <t>Rent office / staff accommodation</t>
  </si>
  <si>
    <t>Separate office &amp; staff accomm</t>
  </si>
  <si>
    <t>Rent office &amp; staff accom</t>
  </si>
  <si>
    <t>50% cost share</t>
  </si>
  <si>
    <t>Office &amp; Accommodation rent contribution</t>
  </si>
  <si>
    <t>Office &amp; accommodation running</t>
  </si>
  <si>
    <t>Office &amp; accom running (utilities, stationary, communication, bank fees, representation, etc)</t>
  </si>
  <si>
    <t>including Hbo general &amp; WASHE central</t>
  </si>
  <si>
    <t>Office &amp; accom running (utilities, stationary, communication, bank fees, etc)</t>
  </si>
  <si>
    <t>including WASHE Uige</t>
  </si>
  <si>
    <t>including WASHE Zaire</t>
  </si>
  <si>
    <t>Other admin costs</t>
  </si>
  <si>
    <t xml:space="preserve">National travel </t>
  </si>
  <si>
    <t>flights all bases, road travel, hotel when MENTOR accom full, e.g. for monthly coordination meetings</t>
  </si>
  <si>
    <t xml:space="preserve">Translations &amp; legal fees </t>
  </si>
  <si>
    <t>all bases</t>
  </si>
  <si>
    <t>Mid term F&amp;A evaluation</t>
  </si>
  <si>
    <t xml:space="preserve">Evaluator fee, travel, etc. </t>
  </si>
  <si>
    <t>International</t>
  </si>
  <si>
    <t>Staff travel &amp; Accommodation</t>
  </si>
  <si>
    <t>staff travel &amp; accommodation</t>
  </si>
  <si>
    <t>eg to support other provinces</t>
  </si>
  <si>
    <t>TA</t>
  </si>
  <si>
    <t>CB</t>
  </si>
  <si>
    <t>Consultants (short term assignments)</t>
  </si>
  <si>
    <t>-</t>
  </si>
  <si>
    <t>Log coach all costs / 50% paid by MENTOR HQ</t>
  </si>
  <si>
    <t>Subsidy to MoH NTD Staff / Consultants</t>
  </si>
  <si>
    <t>Subsidy to NTD National Programme Coordinator</t>
  </si>
  <si>
    <t>Subsidy to NTD National Programme Coordinator Assistant</t>
  </si>
  <si>
    <t>M&amp;E Officer - seconded to MoH</t>
  </si>
  <si>
    <t>Admin assistant - seconded to MoH</t>
  </si>
  <si>
    <t>Subsidy to MoH NTD staff / Consultants</t>
  </si>
  <si>
    <t>Daily labor</t>
  </si>
  <si>
    <t>Daily labor (e.g. replacement guards, drivers, etc.)</t>
  </si>
  <si>
    <t>E.g. holiday replacement guards, drivers</t>
  </si>
  <si>
    <t>Daily labor (e.g replacement driver, repairs, etc.)</t>
  </si>
  <si>
    <t>Daily labor (e.g. replacement guards, drivers, etc. )</t>
  </si>
  <si>
    <t>International staff - Admin HQ</t>
  </si>
  <si>
    <t>HR</t>
  </si>
  <si>
    <t>Country Director + National NTD Coordinator 50%</t>
  </si>
  <si>
    <t>Coordinator Finance &amp; Adm 50%</t>
  </si>
  <si>
    <t>Coordinator WASHE</t>
  </si>
  <si>
    <t>IEC</t>
  </si>
  <si>
    <t>M&amp;E Coordinator</t>
  </si>
  <si>
    <t>Partnership Coordinator / Technical Assistant (Luanda)</t>
  </si>
  <si>
    <t>Programme Coordinator (Zaire / Kuanza Sul)</t>
  </si>
  <si>
    <t xml:space="preserve">Programme Coordinator (Uige) </t>
  </si>
  <si>
    <t>Intl Capacity Building staff Provinces</t>
  </si>
  <si>
    <t>International Staff - Fringe benefits HQ</t>
  </si>
  <si>
    <t>Visas / work permits (all Consultants)</t>
  </si>
  <si>
    <t>Consultant Insurance (all Consultants)</t>
  </si>
  <si>
    <t>Relocation allowance</t>
  </si>
  <si>
    <t>International travel (all Consultants)</t>
  </si>
  <si>
    <t>Consultant capacity development (all Consultants)</t>
  </si>
  <si>
    <t>Portuguese language training</t>
  </si>
  <si>
    <t xml:space="preserve">International staff - Fringe benefits </t>
  </si>
  <si>
    <t>International staff  - Fringe benefits Central</t>
  </si>
  <si>
    <t xml:space="preserve">Central </t>
  </si>
  <si>
    <t>ICLA (all Consultants)</t>
  </si>
  <si>
    <t>Recruitment costs</t>
  </si>
  <si>
    <t>International staff - Fringe benefits in-country</t>
  </si>
  <si>
    <t>National staff - M&amp;A Central</t>
  </si>
  <si>
    <t>Logistics Coordinator 75%</t>
  </si>
  <si>
    <t>Admin Assistant (100%)</t>
  </si>
  <si>
    <t>Cleaner (office / residence)</t>
  </si>
  <si>
    <t>Guards  (x3)</t>
  </si>
  <si>
    <t>INSS social security (employer contribution)</t>
  </si>
  <si>
    <t>Personnel benefits- Xmas &amp; Holiday bonus</t>
  </si>
  <si>
    <t xml:space="preserve">Personnel benefits - Severance </t>
  </si>
  <si>
    <t xml:space="preserve">Recruitment costs </t>
  </si>
  <si>
    <t>National staff development (all NTD staff)</t>
  </si>
  <si>
    <t>National staff  M&amp;A Central</t>
  </si>
  <si>
    <t>National staff - WASHE Central</t>
  </si>
  <si>
    <t>Project Manager WASHE</t>
  </si>
  <si>
    <t>National staff - Management &amp; Admin Luanda</t>
  </si>
  <si>
    <t>Driver / log assist</t>
  </si>
  <si>
    <t>Cleaner</t>
  </si>
  <si>
    <t>National staff - Capacity Building Huambo</t>
  </si>
  <si>
    <t>Supervisor</t>
  </si>
  <si>
    <t>Data clerk / M&amp;E</t>
  </si>
  <si>
    <t xml:space="preserve">Driver </t>
  </si>
  <si>
    <t>National staff - Management &amp; Admin Huambo</t>
  </si>
  <si>
    <t>Base Administrator (50% / 75%)</t>
  </si>
  <si>
    <t>Base logistician (50 %)</t>
  </si>
  <si>
    <t>Guards (x3)</t>
  </si>
  <si>
    <t>National staff - WASHE Huambo</t>
  </si>
  <si>
    <t>Supervisor WASHE</t>
  </si>
  <si>
    <t>Driver WASHE</t>
  </si>
  <si>
    <t>National staff - Capacity Building Uige</t>
  </si>
  <si>
    <t>Project Manager</t>
  </si>
  <si>
    <t>Supervisor (2)</t>
  </si>
  <si>
    <t>Drivers (x2)</t>
  </si>
  <si>
    <t>National staff - Management &amp; Admin Uige</t>
  </si>
  <si>
    <t>Base Administrator (25%)</t>
  </si>
  <si>
    <t>Base logistician (25%)</t>
  </si>
  <si>
    <t>Cleaner (50%)</t>
  </si>
  <si>
    <t>National staff - WASHE Uige</t>
  </si>
  <si>
    <t>National staff - Capacity Building Zaire</t>
  </si>
  <si>
    <t xml:space="preserve">Supervisor </t>
  </si>
  <si>
    <t>National staff - Management &amp; Admin Zaire</t>
  </si>
  <si>
    <t>National staff - WASHE Zaire</t>
  </si>
  <si>
    <t xml:space="preserve">National staff - Capacity Building Bie </t>
  </si>
  <si>
    <t>Programme Coordinator Bie &amp; Cuando Cubango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</si>
</sst>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 #,##0_ ;_ * \-#,##0_ ;_ * &quot;-&quot;_ ;_ @_ "/>
    <numFmt numFmtId="176" formatCode="_ &quot;CHF&quot;\ * #,##0.00_ ;_ &quot;CHF&quot;\ * \-#,##0.00_ ;_ &quot;CHF&quot;\ * &quot;-&quot;??_ ;_ @_ "/>
    <numFmt numFmtId="177" formatCode="_ * #,##0.00_ ;_ * \-#,##0.0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 #,##0_ ;_ * \-#,##0_ ;_ * &quot;-&quot;??_ ;_ @_ "/>
    <numFmt numFmtId="187" formatCode="_-* #,##0\ _€_-;\-* #,##0\ _€_-;_-* &quot;-&quot;??\ _€_-;_-@_-"/>
    <numFmt numFmtId="188" formatCode="#,##0.0"/>
    <numFmt numFmtId="189" formatCode="#,##0_ ;[Red]\-#,##0\ "/>
    <numFmt numFmtId="190" formatCode="#,##0.00_ ;[Red]\-#,##0.00\ "/>
    <numFmt numFmtId="191" formatCode="0.00_ ;[Red]\-0.00\ "/>
    <numFmt numFmtId="192" formatCode="_-* #,##0_-;\-* #,##0_-;_-* &quot;-&quot;??_-;_-@_-"/>
  </numFmts>
  <fonts count="119">
    <font>
      <sz val="11"/>
      <color theme="1"/>
      <name val="Calibri"/>
      <family val="2"/>
    </font>
    <font>
      <sz val="12"/>
      <color indexed="8"/>
      <name val="Calibri"/>
      <family val="2"/>
    </font>
    <font>
      <sz val="10"/>
      <color indexed="8"/>
      <name val="Arial"/>
      <family val="2"/>
    </font>
    <font>
      <sz val="12"/>
      <name val="Arial"/>
      <family val="2"/>
    </font>
    <font>
      <sz val="8"/>
      <name val="Calibri"/>
      <family val="2"/>
    </font>
    <font>
      <sz val="11"/>
      <name val="Frutiger LT Std 45 Light"/>
      <family val="0"/>
    </font>
    <font>
      <sz val="10"/>
      <color indexed="8"/>
      <name val="MS Sans Serif"/>
      <family val="2"/>
    </font>
    <font>
      <sz val="8"/>
      <color indexed="8"/>
      <name val="Calibri"/>
      <family val="2"/>
    </font>
    <font>
      <b/>
      <sz val="8"/>
      <color indexed="8"/>
      <name val="Calibri"/>
      <family val="2"/>
    </font>
    <font>
      <b/>
      <sz val="10"/>
      <color indexed="8"/>
      <name val="Arial Narrow"/>
      <family val="2"/>
    </font>
    <font>
      <sz val="10"/>
      <color indexed="8"/>
      <name val="Arial Narrow"/>
      <family val="2"/>
    </font>
    <font>
      <b/>
      <sz val="10"/>
      <color indexed="10"/>
      <name val="Arial Narrow"/>
      <family val="2"/>
    </font>
    <font>
      <sz val="8"/>
      <name val="Gill Sans MT"/>
      <family val="2"/>
    </font>
    <font>
      <sz val="10"/>
      <name val="Gill Sans MT"/>
      <family val="2"/>
    </font>
    <font>
      <sz val="8"/>
      <name val="Arial"/>
      <family val="2"/>
    </font>
    <font>
      <sz val="9"/>
      <name val="Arial"/>
      <family val="2"/>
    </font>
    <font>
      <b/>
      <sz val="14"/>
      <name val="Gill Sans MT"/>
      <family val="2"/>
    </font>
    <font>
      <sz val="12"/>
      <name val="Gill Sans MT"/>
      <family val="2"/>
    </font>
    <font>
      <b/>
      <sz val="12"/>
      <name val="Gill Sans MT"/>
      <family val="2"/>
    </font>
    <font>
      <b/>
      <sz val="9"/>
      <name val="Arial"/>
      <family val="2"/>
    </font>
    <font>
      <sz val="9"/>
      <color indexed="8"/>
      <name val="Arial"/>
      <family val="2"/>
    </font>
    <font>
      <sz val="10"/>
      <name val="Arial"/>
      <family val="2"/>
    </font>
    <font>
      <b/>
      <sz val="10"/>
      <name val="Arial"/>
      <family val="2"/>
    </font>
    <font>
      <sz val="10"/>
      <name val="Arial Narrow"/>
      <family val="2"/>
    </font>
    <font>
      <b/>
      <sz val="12"/>
      <color indexed="8"/>
      <name val="Arial Narrow"/>
      <family val="2"/>
    </font>
    <font>
      <sz val="11"/>
      <color indexed="8"/>
      <name val="Arial Narrow"/>
      <family val="2"/>
    </font>
    <font>
      <b/>
      <sz val="11"/>
      <color indexed="8"/>
      <name val="Arial Narrow"/>
      <family val="2"/>
    </font>
    <font>
      <sz val="8"/>
      <color indexed="8"/>
      <name val="Arial"/>
      <family val="2"/>
    </font>
    <font>
      <b/>
      <sz val="8"/>
      <name val="Arial"/>
      <family val="2"/>
    </font>
    <font>
      <b/>
      <sz val="8"/>
      <color indexed="8"/>
      <name val="Arial"/>
      <family val="2"/>
    </font>
    <font>
      <b/>
      <sz val="9"/>
      <color indexed="8"/>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56"/>
      <name val="Calibri"/>
      <family val="2"/>
    </font>
    <font>
      <sz val="12"/>
      <color indexed="62"/>
      <name val="Calibri"/>
      <family val="2"/>
    </font>
    <font>
      <u val="single"/>
      <sz val="11"/>
      <color indexed="12"/>
      <name val="Calibri"/>
      <family val="2"/>
    </font>
    <font>
      <u val="single"/>
      <sz val="11"/>
      <color indexed="2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11"/>
      <color indexed="8"/>
      <name val="Frutiger LT Std 45 Light"/>
      <family val="0"/>
    </font>
    <font>
      <b/>
      <sz val="10"/>
      <color indexed="8"/>
      <name val="Frutiger LT Std 45 Light"/>
      <family val="0"/>
    </font>
    <font>
      <b/>
      <sz val="12"/>
      <color indexed="8"/>
      <name val="Frutiger LT Std 45 Light"/>
      <family val="0"/>
    </font>
    <font>
      <b/>
      <sz val="11"/>
      <color indexed="8"/>
      <name val="Frutiger LT Std 45 Light"/>
      <family val="0"/>
    </font>
    <font>
      <b/>
      <sz val="6.5"/>
      <color indexed="8"/>
      <name val="Calibri"/>
      <family val="2"/>
    </font>
    <font>
      <sz val="8"/>
      <color indexed="8"/>
      <name val="Cambria"/>
      <family val="1"/>
    </font>
    <font>
      <b/>
      <sz val="11"/>
      <color indexed="8"/>
      <name val="Calibri"/>
      <family val="2"/>
    </font>
    <font>
      <b/>
      <sz val="14"/>
      <color indexed="8"/>
      <name val="Calibri"/>
      <family val="2"/>
    </font>
    <font>
      <sz val="11"/>
      <color indexed="9"/>
      <name val="Calibri"/>
      <family val="2"/>
    </font>
    <font>
      <b/>
      <sz val="11"/>
      <color indexed="9"/>
      <name val="Calibri"/>
      <family val="2"/>
    </font>
    <font>
      <b/>
      <sz val="11"/>
      <name val="Calibri"/>
      <family val="2"/>
    </font>
    <font>
      <b/>
      <sz val="9"/>
      <color indexed="9"/>
      <name val="Arial"/>
      <family val="2"/>
    </font>
    <font>
      <b/>
      <sz val="9"/>
      <color indexed="15"/>
      <name val="Arial"/>
      <family val="2"/>
    </font>
    <font>
      <b/>
      <sz val="11"/>
      <color indexed="15"/>
      <name val="Arial Narrow"/>
      <family val="2"/>
    </font>
    <font>
      <sz val="8"/>
      <color indexed="21"/>
      <name val="Arial"/>
      <family val="2"/>
    </font>
    <font>
      <sz val="9"/>
      <color indexed="15"/>
      <name val="Arial"/>
      <family val="2"/>
    </font>
    <font>
      <sz val="9"/>
      <color indexed="21"/>
      <name val="Arial"/>
      <family val="2"/>
    </font>
    <font>
      <sz val="8"/>
      <color indexed="10"/>
      <name val="Arial"/>
      <family val="2"/>
    </font>
    <font>
      <sz val="9"/>
      <color indexed="10"/>
      <name val="Arial"/>
      <family val="2"/>
    </font>
    <font>
      <sz val="8"/>
      <color indexed="15"/>
      <name val="Arial"/>
      <family val="2"/>
    </font>
    <font>
      <b/>
      <sz val="14"/>
      <color indexed="8"/>
      <name val="Frutiger LT Std 45 Light"/>
      <family val="0"/>
    </font>
    <font>
      <b/>
      <sz val="12"/>
      <color indexed="9"/>
      <name val="Gill Sans MT"/>
      <family val="2"/>
    </font>
    <font>
      <b/>
      <sz val="10"/>
      <color indexed="15"/>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Frutiger LT Std 45 Light"/>
      <family val="0"/>
    </font>
    <font>
      <b/>
      <sz val="10"/>
      <color theme="1"/>
      <name val="Frutiger LT Std 45 Light"/>
      <family val="0"/>
    </font>
    <font>
      <b/>
      <sz val="12"/>
      <color theme="1"/>
      <name val="Frutiger LT Std 45 Light"/>
      <family val="0"/>
    </font>
    <font>
      <b/>
      <sz val="11"/>
      <color theme="1"/>
      <name val="Frutiger LT Std 45 Light"/>
      <family val="0"/>
    </font>
    <font>
      <sz val="8"/>
      <color theme="1"/>
      <name val="Calibri"/>
      <family val="2"/>
    </font>
    <font>
      <b/>
      <sz val="8"/>
      <color theme="1"/>
      <name val="Calibri"/>
      <family val="2"/>
    </font>
    <font>
      <b/>
      <sz val="6.5"/>
      <color theme="1"/>
      <name val="Calibri"/>
      <family val="2"/>
    </font>
    <font>
      <b/>
      <sz val="11"/>
      <color theme="1"/>
      <name val="Calibri"/>
      <family val="2"/>
    </font>
    <font>
      <sz val="10"/>
      <color theme="1"/>
      <name val="Arial Narrow"/>
      <family val="2"/>
    </font>
    <font>
      <b/>
      <sz val="10"/>
      <color theme="1"/>
      <name val="Arial Narrow"/>
      <family val="2"/>
    </font>
    <font>
      <b/>
      <sz val="14"/>
      <color theme="1"/>
      <name val="Calibri"/>
      <family val="2"/>
    </font>
    <font>
      <sz val="11"/>
      <color theme="0"/>
      <name val="Calibri"/>
      <family val="2"/>
    </font>
    <font>
      <b/>
      <sz val="11"/>
      <color theme="0"/>
      <name val="Calibri"/>
      <family val="2"/>
    </font>
    <font>
      <b/>
      <sz val="9"/>
      <color theme="0"/>
      <name val="Arial"/>
      <family val="2"/>
    </font>
    <font>
      <b/>
      <sz val="9"/>
      <color rgb="FF0070C0"/>
      <name val="Arial"/>
      <family val="2"/>
    </font>
    <font>
      <sz val="9"/>
      <color theme="1"/>
      <name val="Arial"/>
      <family val="2"/>
    </font>
    <font>
      <b/>
      <sz val="11"/>
      <color rgb="FF0070C0"/>
      <name val="Arial Narrow"/>
      <family val="2"/>
    </font>
    <font>
      <sz val="8"/>
      <color rgb="FF00B050"/>
      <name val="Arial"/>
      <family val="2"/>
    </font>
    <font>
      <sz val="9"/>
      <color rgb="FF0070C0"/>
      <name val="Arial"/>
      <family val="2"/>
    </font>
    <font>
      <sz val="9"/>
      <color rgb="FF00B050"/>
      <name val="Arial"/>
      <family val="2"/>
    </font>
    <font>
      <sz val="8"/>
      <color rgb="FFFF0000"/>
      <name val="Arial"/>
      <family val="2"/>
    </font>
    <font>
      <sz val="8"/>
      <color theme="1"/>
      <name val="Arial"/>
      <family val="2"/>
    </font>
    <font>
      <sz val="9"/>
      <color rgb="FFFF0000"/>
      <name val="Arial"/>
      <family val="2"/>
    </font>
    <font>
      <sz val="8"/>
      <color rgb="FF0070C0"/>
      <name val="Arial"/>
      <family val="2"/>
    </font>
    <font>
      <b/>
      <sz val="14"/>
      <color theme="1"/>
      <name val="Frutiger LT Std 45 Light"/>
      <family val="0"/>
    </font>
    <font>
      <b/>
      <sz val="12"/>
      <color theme="0"/>
      <name val="Gill Sans MT"/>
      <family val="2"/>
    </font>
    <font>
      <b/>
      <sz val="10"/>
      <color rgb="FF0070C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C00000"/>
        <bgColor indexed="64"/>
      </patternFill>
    </fill>
    <fill>
      <patternFill patternType="solid">
        <fgColor rgb="FF00B0F0"/>
        <bgColor indexed="64"/>
      </patternFill>
    </fill>
    <fill>
      <patternFill patternType="solid">
        <fgColor indexed="55"/>
        <bgColor indexed="64"/>
      </patternFill>
    </fill>
    <fill>
      <patternFill patternType="solid">
        <fgColor theme="0" tint="-0.0499799996614456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dotted"/>
      <top style="thin"/>
      <bottom>
        <color indexed="63"/>
      </bottom>
    </border>
    <border>
      <left style="thin"/>
      <right style="dotted"/>
      <top>
        <color indexed="63"/>
      </top>
      <bottom style="hair"/>
    </border>
    <border>
      <left style="thin"/>
      <right style="dotted"/>
      <top style="hair"/>
      <bottom style="hair"/>
    </border>
    <border>
      <left style="thin"/>
      <right style="dotted"/>
      <top>
        <color indexed="63"/>
      </top>
      <bottom style="dotted"/>
    </border>
    <border>
      <left style="thin"/>
      <right style="thin"/>
      <top>
        <color indexed="63"/>
      </top>
      <bottom style="hair"/>
    </border>
    <border>
      <left style="thin"/>
      <right>
        <color indexed="63"/>
      </right>
      <top style="thin"/>
      <bottom style="hair"/>
    </border>
    <border>
      <left style="medium"/>
      <right style="medium"/>
      <top style="medium"/>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style="thin">
        <color rgb="FFABABAB"/>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style="medium"/>
      <right style="thin"/>
      <top style="medium"/>
      <bottom>
        <color indexed="63"/>
      </bottom>
    </border>
    <border>
      <left style="medium"/>
      <right>
        <color indexed="63"/>
      </right>
      <top style="medium"/>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color indexed="63"/>
      </left>
      <right style="thin">
        <color rgb="FFABABAB"/>
      </right>
      <top style="thin">
        <color rgb="FFABABAB"/>
      </top>
      <bottom>
        <color indexed="63"/>
      </bottom>
    </border>
    <border>
      <left>
        <color indexed="63"/>
      </left>
      <right style="thin">
        <color rgb="FFABABAB"/>
      </right>
      <top>
        <color indexed="63"/>
      </top>
      <bottom>
        <color indexed="63"/>
      </bottom>
    </border>
    <border>
      <left>
        <color indexed="63"/>
      </left>
      <right>
        <color indexed="63"/>
      </right>
      <top style="thin">
        <color rgb="FFABABAB"/>
      </top>
      <bottom style="thin">
        <color rgb="FFABABAB"/>
      </bottom>
    </border>
    <border>
      <left>
        <color indexed="63"/>
      </left>
      <right style="thin">
        <color rgb="FFABABAB"/>
      </right>
      <top style="thin">
        <color rgb="FFABABAB"/>
      </top>
      <bottom style="thin">
        <color rgb="FFABABAB"/>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style="thin"/>
      <bottom style="hair"/>
    </border>
    <border>
      <left style="thin"/>
      <right style="medium"/>
      <top style="thin"/>
      <bottom style="hair"/>
    </border>
    <border>
      <left style="thin"/>
      <right style="medium"/>
      <top style="thin"/>
      <bottom style="medium"/>
    </border>
    <border>
      <left style="medium"/>
      <right>
        <color indexed="63"/>
      </right>
      <top style="medium"/>
      <bottom style="hair"/>
    </border>
    <border>
      <left style="medium"/>
      <right>
        <color indexed="63"/>
      </right>
      <top style="thin"/>
      <bottom style="hair"/>
    </border>
    <border>
      <left style="medium"/>
      <right style="thin"/>
      <top style="thin"/>
      <bottom style="medium"/>
    </border>
    <border>
      <left style="thin"/>
      <right>
        <color indexed="63"/>
      </right>
      <top style="thin"/>
      <bottom style="dotted"/>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color indexed="63"/>
      </bottom>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hair"/>
    </border>
    <border>
      <left>
        <color indexed="63"/>
      </left>
      <right style="thin"/>
      <top>
        <color indexed="63"/>
      </top>
      <bottom>
        <color indexed="63"/>
      </bottom>
    </border>
    <border>
      <left style="thin"/>
      <right style="thin"/>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style="thin"/>
      <right style="thin"/>
      <top style="hair"/>
      <bottom style="thin"/>
    </border>
    <border>
      <left style="thin"/>
      <right style="thin"/>
      <top style="hair"/>
      <bottom>
        <color indexed="63"/>
      </bottom>
    </border>
    <border>
      <left style="thin"/>
      <right>
        <color indexed="63"/>
      </right>
      <top style="dotted"/>
      <bottom style="thin"/>
    </border>
    <border>
      <left>
        <color indexed="63"/>
      </left>
      <right>
        <color indexed="63"/>
      </right>
      <top>
        <color indexed="63"/>
      </top>
      <bottom style="dotted"/>
    </border>
    <border>
      <left>
        <color indexed="63"/>
      </left>
      <right style="thin"/>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medium"/>
      <right>
        <color indexed="63"/>
      </right>
      <top style="thin"/>
      <bottom>
        <color indexed="63"/>
      </bottom>
    </border>
    <border>
      <left>
        <color indexed="63"/>
      </left>
      <right style="thin"/>
      <top style="dotted"/>
      <bottom>
        <color indexed="63"/>
      </bottom>
    </border>
    <border>
      <left style="thin"/>
      <right>
        <color indexed="63"/>
      </right>
      <top>
        <color indexed="63"/>
      </top>
      <bottom>
        <color indexed="63"/>
      </bottom>
    </border>
    <border>
      <left style="thin"/>
      <right style="thin"/>
      <top>
        <color indexed="63"/>
      </top>
      <bottom style="dotted"/>
    </border>
    <border>
      <left style="dotted"/>
      <right>
        <color indexed="63"/>
      </right>
      <top>
        <color indexed="63"/>
      </top>
      <bottom style="dotted"/>
    </border>
    <border>
      <left>
        <color indexed="63"/>
      </left>
      <right style="thin"/>
      <top>
        <color indexed="63"/>
      </top>
      <bottom style="dotted"/>
    </border>
    <border>
      <left style="dotted"/>
      <right style="dotted"/>
      <top>
        <color indexed="63"/>
      </top>
      <bottom style="hair"/>
    </border>
    <border>
      <left style="dotted"/>
      <right style="thin"/>
      <top>
        <color indexed="63"/>
      </top>
      <bottom style="hair"/>
    </border>
    <border>
      <left style="dotted"/>
      <right style="dotted"/>
      <top style="hair"/>
      <bottom style="hair"/>
    </border>
    <border>
      <left style="dotted"/>
      <right style="thin"/>
      <top style="hair"/>
      <bottom style="hair"/>
    </border>
    <border>
      <left style="dotted"/>
      <right style="dotted"/>
      <top style="thin"/>
      <bottom>
        <color indexed="63"/>
      </bottom>
    </border>
    <border>
      <left style="dotted"/>
      <right style="thin"/>
      <top style="thin"/>
      <bottom>
        <color indexed="63"/>
      </bottom>
    </border>
    <border>
      <left style="dotted"/>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medium"/>
      <bottom>
        <color indexed="63"/>
      </bottom>
    </border>
    <border>
      <left style="thin"/>
      <right style="medium"/>
      <top>
        <color indexed="63"/>
      </top>
      <bottom style="medium"/>
    </border>
    <border>
      <left style="medium"/>
      <right style="thin"/>
      <top>
        <color indexed="63"/>
      </top>
      <bottom style="medium"/>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67">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7"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43" fontId="0" fillId="0" borderId="0" applyFont="0" applyFill="0" applyBorder="0" applyAlignment="0" applyProtection="0"/>
    <xf numFmtId="0" fontId="87" fillId="31" borderId="0" applyNumberFormat="0" applyBorder="0" applyAlignment="0" applyProtection="0"/>
    <xf numFmtId="0" fontId="2" fillId="0" borderId="0" applyNumberFormat="0" applyFill="0" applyBorder="0" applyAlignment="0" applyProtection="0"/>
    <xf numFmtId="0" fontId="3" fillId="0" borderId="0">
      <alignment/>
      <protection/>
    </xf>
    <xf numFmtId="0" fontId="6"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82">
    <xf numFmtId="0" fontId="0" fillId="0" borderId="0" xfId="0" applyFont="1" applyAlignment="1">
      <alignment/>
    </xf>
    <xf numFmtId="0" fontId="0" fillId="0" borderId="0" xfId="0" applyAlignment="1">
      <alignment/>
    </xf>
    <xf numFmtId="0" fontId="0" fillId="33" borderId="0" xfId="0" applyFill="1" applyAlignment="1">
      <alignment/>
    </xf>
    <xf numFmtId="0" fontId="92"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2" fillId="33" borderId="13" xfId="0" applyFont="1" applyFill="1" applyBorder="1" applyAlignment="1">
      <alignment horizontal="center"/>
    </xf>
    <xf numFmtId="0" fontId="92" fillId="33" borderId="14" xfId="0" applyFont="1" applyFill="1" applyBorder="1" applyAlignment="1">
      <alignment horizontal="center"/>
    </xf>
    <xf numFmtId="0" fontId="92" fillId="33" borderId="15" xfId="0" applyFont="1" applyFill="1" applyBorder="1" applyAlignment="1">
      <alignment horizontal="center"/>
    </xf>
    <xf numFmtId="0" fontId="92" fillId="33" borderId="15" xfId="0" applyFont="1" applyFill="1" applyBorder="1" applyAlignment="1">
      <alignment/>
    </xf>
    <xf numFmtId="15" fontId="92" fillId="0" borderId="15" xfId="0" applyNumberFormat="1" applyFont="1" applyBorder="1" applyAlignment="1">
      <alignment horizontal="center"/>
    </xf>
    <xf numFmtId="0" fontId="94" fillId="33" borderId="0" xfId="0" applyFont="1" applyFill="1" applyAlignment="1">
      <alignment/>
    </xf>
    <xf numFmtId="0" fontId="92" fillId="33" borderId="0" xfId="0" applyFont="1" applyFill="1" applyAlignment="1">
      <alignment/>
    </xf>
    <xf numFmtId="0" fontId="95" fillId="33" borderId="0" xfId="0" applyFont="1" applyFill="1" applyAlignment="1">
      <alignment/>
    </xf>
    <xf numFmtId="0" fontId="92" fillId="0" borderId="15" xfId="0" applyFont="1" applyBorder="1" applyAlignment="1">
      <alignment horizontal="center"/>
    </xf>
    <xf numFmtId="0" fontId="92" fillId="0" borderId="16" xfId="0" applyFont="1" applyBorder="1" applyAlignment="1">
      <alignment/>
    </xf>
    <xf numFmtId="0" fontId="92" fillId="0" borderId="17" xfId="0" applyFont="1" applyBorder="1" applyAlignment="1">
      <alignment/>
    </xf>
    <xf numFmtId="0" fontId="92" fillId="0" borderId="18" xfId="0" applyFont="1" applyBorder="1" applyAlignment="1">
      <alignment/>
    </xf>
    <xf numFmtId="0" fontId="92" fillId="0" borderId="19" xfId="0" applyFont="1" applyBorder="1" applyAlignment="1">
      <alignment/>
    </xf>
    <xf numFmtId="0" fontId="92" fillId="0" borderId="0" xfId="0" applyFont="1" applyBorder="1" applyAlignment="1">
      <alignment/>
    </xf>
    <xf numFmtId="0" fontId="92" fillId="0" borderId="15" xfId="0" applyFont="1" applyBorder="1" applyAlignment="1">
      <alignment/>
    </xf>
    <xf numFmtId="0" fontId="92" fillId="0" borderId="14" xfId="0" applyFont="1" applyBorder="1" applyAlignment="1">
      <alignment/>
    </xf>
    <xf numFmtId="0" fontId="93" fillId="0" borderId="20" xfId="0" applyFont="1" applyBorder="1" applyAlignment="1">
      <alignment/>
    </xf>
    <xf numFmtId="0" fontId="92" fillId="0" borderId="15" xfId="0" applyFont="1" applyBorder="1" applyAlignment="1">
      <alignment horizontal="left" wrapText="1"/>
    </xf>
    <xf numFmtId="0" fontId="92" fillId="0" borderId="14" xfId="0" applyFont="1" applyBorder="1" applyAlignment="1">
      <alignment horizontal="left" wrapText="1"/>
    </xf>
    <xf numFmtId="177" fontId="92" fillId="0" borderId="21" xfId="42" applyFont="1" applyBorder="1" applyAlignment="1">
      <alignment/>
    </xf>
    <xf numFmtId="177" fontId="92" fillId="16" borderId="15" xfId="42" applyFont="1" applyFill="1" applyBorder="1" applyAlignment="1">
      <alignment/>
    </xf>
    <xf numFmtId="186" fontId="92" fillId="0" borderId="21" xfId="42" applyNumberFormat="1" applyFont="1" applyBorder="1" applyAlignment="1">
      <alignment/>
    </xf>
    <xf numFmtId="186" fontId="92" fillId="16" borderId="15" xfId="42" applyNumberFormat="1" applyFont="1" applyFill="1" applyBorder="1" applyAlignment="1">
      <alignment/>
    </xf>
    <xf numFmtId="0" fontId="0" fillId="0" borderId="15" xfId="0" applyBorder="1" applyAlignment="1">
      <alignment wrapText="1"/>
    </xf>
    <xf numFmtId="0" fontId="92" fillId="16" borderId="15" xfId="0" applyFont="1" applyFill="1" applyBorder="1" applyAlignment="1">
      <alignment vertical="center"/>
    </xf>
    <xf numFmtId="4" fontId="0" fillId="0" borderId="0" xfId="0" applyNumberFormat="1" applyAlignment="1">
      <alignment/>
    </xf>
    <xf numFmtId="0" fontId="96" fillId="0" borderId="0" xfId="0" applyFont="1" applyAlignment="1">
      <alignment/>
    </xf>
    <xf numFmtId="0" fontId="97" fillId="34" borderId="0" xfId="0" applyFont="1" applyFill="1" applyAlignment="1">
      <alignment horizontal="center"/>
    </xf>
    <xf numFmtId="0" fontId="97" fillId="0" borderId="0" xfId="0" applyFont="1" applyAlignment="1">
      <alignment horizontal="center"/>
    </xf>
    <xf numFmtId="0" fontId="98" fillId="6" borderId="22" xfId="0" applyFont="1" applyFill="1" applyBorder="1" applyAlignment="1">
      <alignment horizontal="center"/>
    </xf>
    <xf numFmtId="0" fontId="98" fillId="6" borderId="22" xfId="0" applyFont="1" applyFill="1" applyBorder="1" applyAlignment="1">
      <alignment horizontal="left"/>
    </xf>
    <xf numFmtId="3" fontId="98" fillId="6" borderId="22" xfId="0" applyNumberFormat="1" applyFont="1" applyFill="1" applyBorder="1" applyAlignment="1">
      <alignment horizontal="center"/>
    </xf>
    <xf numFmtId="4" fontId="98" fillId="6" borderId="22" xfId="0" applyNumberFormat="1" applyFont="1" applyFill="1" applyBorder="1" applyAlignment="1">
      <alignment horizontal="center"/>
    </xf>
    <xf numFmtId="0" fontId="55" fillId="0" borderId="0" xfId="60" applyFont="1" applyFill="1" applyBorder="1" applyAlignment="1">
      <alignment horizontal="center" vertical="center"/>
      <protection/>
    </xf>
    <xf numFmtId="0" fontId="96" fillId="0" borderId="15" xfId="0" applyFont="1" applyBorder="1" applyAlignment="1">
      <alignment/>
    </xf>
    <xf numFmtId="0" fontId="7" fillId="0" borderId="15" xfId="60" applyFont="1" applyFill="1" applyBorder="1" applyAlignment="1">
      <alignment horizontal="left" vertical="center"/>
      <protection/>
    </xf>
    <xf numFmtId="3" fontId="96" fillId="0" borderId="15" xfId="56" applyNumberFormat="1" applyFont="1" applyBorder="1" applyAlignment="1">
      <alignment horizontal="center" vertical="center" wrapText="1"/>
    </xf>
    <xf numFmtId="3" fontId="96" fillId="0" borderId="15" xfId="0" applyNumberFormat="1" applyFont="1" applyBorder="1" applyAlignment="1">
      <alignment horizontal="center"/>
    </xf>
    <xf numFmtId="0" fontId="96" fillId="0" borderId="15" xfId="0" applyNumberFormat="1" applyFont="1" applyFill="1" applyBorder="1" applyAlignment="1">
      <alignment horizontal="center"/>
    </xf>
    <xf numFmtId="4" fontId="96" fillId="0" borderId="15" xfId="0" applyNumberFormat="1" applyFont="1" applyBorder="1" applyAlignment="1">
      <alignment/>
    </xf>
    <xf numFmtId="3" fontId="96" fillId="0" borderId="15" xfId="0" applyNumberFormat="1" applyFont="1" applyBorder="1" applyAlignment="1">
      <alignment horizontal="center" vertical="center" wrapText="1"/>
    </xf>
    <xf numFmtId="3" fontId="96" fillId="0" borderId="15" xfId="56" applyNumberFormat="1" applyFont="1" applyFill="1" applyBorder="1" applyAlignment="1">
      <alignment horizontal="center" vertical="center" wrapText="1"/>
    </xf>
    <xf numFmtId="3" fontId="96" fillId="0" borderId="15" xfId="0" applyNumberFormat="1" applyFont="1" applyFill="1" applyBorder="1" applyAlignment="1">
      <alignment horizontal="center" vertical="center" wrapText="1"/>
    </xf>
    <xf numFmtId="187" fontId="96" fillId="0" borderId="15" xfId="56" applyNumberFormat="1" applyFont="1" applyBorder="1" applyAlignment="1">
      <alignment horizontal="center"/>
    </xf>
    <xf numFmtId="4" fontId="96" fillId="0" borderId="15" xfId="0" applyNumberFormat="1" applyFont="1" applyFill="1" applyBorder="1" applyAlignment="1">
      <alignment/>
    </xf>
    <xf numFmtId="0" fontId="96" fillId="0" borderId="15" xfId="0" applyFont="1" applyBorder="1" applyAlignment="1">
      <alignment horizontal="left"/>
    </xf>
    <xf numFmtId="49" fontId="96" fillId="0" borderId="15" xfId="0" applyNumberFormat="1" applyFont="1" applyBorder="1" applyAlignment="1">
      <alignment/>
    </xf>
    <xf numFmtId="3" fontId="4" fillId="0" borderId="15" xfId="56"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4" fontId="97" fillId="0" borderId="15" xfId="0" applyNumberFormat="1" applyFont="1" applyBorder="1" applyAlignment="1">
      <alignment/>
    </xf>
    <xf numFmtId="0" fontId="0" fillId="0" borderId="0" xfId="0" applyAlignment="1">
      <alignment horizontal="center"/>
    </xf>
    <xf numFmtId="3" fontId="0" fillId="0" borderId="0" xfId="0" applyNumberFormat="1" applyAlignment="1">
      <alignment horizontal="center"/>
    </xf>
    <xf numFmtId="0" fontId="97" fillId="0" borderId="0" xfId="0" applyFont="1" applyFill="1" applyAlignment="1">
      <alignment horizontal="right"/>
    </xf>
    <xf numFmtId="4" fontId="97" fillId="6" borderId="23" xfId="0" applyNumberFormat="1" applyFont="1" applyFill="1" applyBorder="1" applyAlignment="1">
      <alignment/>
    </xf>
    <xf numFmtId="0" fontId="0" fillId="0" borderId="0" xfId="0" applyFill="1" applyAlignment="1">
      <alignment/>
    </xf>
    <xf numFmtId="0" fontId="0" fillId="35" borderId="0" xfId="0" applyFill="1" applyAlignment="1">
      <alignment/>
    </xf>
    <xf numFmtId="3" fontId="96" fillId="0" borderId="0" xfId="0" applyNumberFormat="1" applyFont="1" applyAlignment="1">
      <alignment horizontal="center" vertical="center" wrapText="1"/>
    </xf>
    <xf numFmtId="3" fontId="96" fillId="0" borderId="0" xfId="0" applyNumberFormat="1" applyFont="1" applyAlignment="1">
      <alignment horizontal="left" vertical="center" wrapText="1"/>
    </xf>
    <xf numFmtId="3" fontId="96" fillId="0" borderId="0" xfId="0" applyNumberFormat="1" applyFont="1" applyBorder="1" applyAlignment="1">
      <alignment horizontal="center" vertical="center" wrapText="1"/>
    </xf>
    <xf numFmtId="3" fontId="97" fillId="0" borderId="0" xfId="0" applyNumberFormat="1" applyFont="1" applyAlignment="1">
      <alignment horizontal="center" vertical="center" wrapText="1"/>
    </xf>
    <xf numFmtId="3" fontId="96" fillId="0" borderId="24" xfId="0" applyNumberFormat="1" applyFont="1" applyBorder="1" applyAlignment="1">
      <alignment horizontal="center" vertical="center" wrapText="1"/>
    </xf>
    <xf numFmtId="3" fontId="97" fillId="0" borderId="25" xfId="0" applyNumberFormat="1" applyFont="1" applyBorder="1" applyAlignment="1">
      <alignment horizontal="center" vertical="center" wrapText="1"/>
    </xf>
    <xf numFmtId="3" fontId="97" fillId="0" borderId="26"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3" fontId="97" fillId="6" borderId="22" xfId="0" applyNumberFormat="1" applyFont="1" applyFill="1" applyBorder="1" applyAlignment="1">
      <alignment horizontal="left" vertical="center" wrapText="1"/>
    </xf>
    <xf numFmtId="3" fontId="97" fillId="6" borderId="22" xfId="0" applyNumberFormat="1" applyFont="1" applyFill="1" applyBorder="1" applyAlignment="1">
      <alignment horizontal="center" vertical="center" wrapText="1"/>
    </xf>
    <xf numFmtId="3" fontId="97" fillId="6" borderId="27" xfId="0" applyNumberFormat="1" applyFont="1" applyFill="1" applyBorder="1" applyAlignment="1">
      <alignment horizontal="center" vertical="center" wrapText="1"/>
    </xf>
    <xf numFmtId="3" fontId="97" fillId="6" borderId="28" xfId="0" applyNumberFormat="1" applyFont="1" applyFill="1" applyBorder="1" applyAlignment="1">
      <alignment horizontal="center" vertical="center" wrapText="1"/>
    </xf>
    <xf numFmtId="3" fontId="97" fillId="36" borderId="27" xfId="0" applyNumberFormat="1" applyFont="1" applyFill="1" applyBorder="1" applyAlignment="1">
      <alignment horizontal="center" vertical="center" wrapText="1"/>
    </xf>
    <xf numFmtId="3" fontId="97" fillId="19" borderId="22" xfId="0" applyNumberFormat="1" applyFont="1" applyFill="1" applyBorder="1" applyAlignment="1">
      <alignment horizontal="center" vertical="center" wrapText="1"/>
    </xf>
    <xf numFmtId="3" fontId="97" fillId="6" borderId="29" xfId="0" applyNumberFormat="1" applyFont="1" applyFill="1" applyBorder="1" applyAlignment="1">
      <alignment vertical="center" wrapText="1"/>
    </xf>
    <xf numFmtId="3" fontId="97" fillId="6" borderId="24" xfId="0" applyNumberFormat="1" applyFont="1" applyFill="1" applyBorder="1" applyAlignment="1">
      <alignment horizontal="left" vertical="center" wrapText="1"/>
    </xf>
    <xf numFmtId="3" fontId="97" fillId="6" borderId="25" xfId="0" applyNumberFormat="1" applyFont="1" applyFill="1" applyBorder="1" applyAlignment="1">
      <alignment horizontal="left" vertical="center" wrapText="1"/>
    </xf>
    <xf numFmtId="3" fontId="97" fillId="6" borderId="0" xfId="0" applyNumberFormat="1" applyFont="1" applyFill="1" applyBorder="1" applyAlignment="1">
      <alignment horizontal="left" vertical="center" wrapText="1"/>
    </xf>
    <xf numFmtId="3" fontId="97" fillId="36" borderId="0" xfId="0" applyNumberFormat="1" applyFont="1" applyFill="1" applyBorder="1" applyAlignment="1">
      <alignment horizontal="left" vertical="center" wrapText="1"/>
    </xf>
    <xf numFmtId="3" fontId="96" fillId="6" borderId="0" xfId="0" applyNumberFormat="1" applyFont="1" applyFill="1" applyBorder="1" applyAlignment="1">
      <alignment horizontal="center" vertical="center" wrapText="1"/>
    </xf>
    <xf numFmtId="3" fontId="7" fillId="0" borderId="15" xfId="60" applyNumberFormat="1" applyFont="1" applyFill="1" applyBorder="1" applyAlignment="1">
      <alignment horizontal="left" vertical="center" wrapText="1"/>
      <protection/>
    </xf>
    <xf numFmtId="3" fontId="96" fillId="34" borderId="30" xfId="0" applyNumberFormat="1" applyFont="1" applyFill="1" applyBorder="1" applyAlignment="1">
      <alignment horizontal="center" vertical="center" wrapText="1"/>
    </xf>
    <xf numFmtId="3" fontId="96" fillId="0" borderId="31" xfId="56" applyNumberFormat="1" applyFont="1" applyBorder="1" applyAlignment="1">
      <alignment horizontal="center" vertical="center" wrapText="1"/>
    </xf>
    <xf numFmtId="3" fontId="96" fillId="34" borderId="32" xfId="0" applyNumberFormat="1" applyFont="1" applyFill="1" applyBorder="1" applyAlignment="1">
      <alignment horizontal="center" vertical="center" wrapText="1"/>
    </xf>
    <xf numFmtId="3" fontId="96" fillId="0" borderId="33" xfId="56" applyNumberFormat="1" applyFont="1" applyBorder="1" applyAlignment="1">
      <alignment horizontal="center" vertical="center" wrapText="1"/>
    </xf>
    <xf numFmtId="3" fontId="96" fillId="36" borderId="30" xfId="0" applyNumberFormat="1" applyFont="1" applyFill="1" applyBorder="1" applyAlignment="1">
      <alignment horizontal="center" vertical="center" wrapText="1"/>
    </xf>
    <xf numFmtId="3" fontId="96" fillId="0" borderId="30" xfId="0" applyNumberFormat="1" applyFont="1" applyBorder="1" applyAlignment="1">
      <alignment horizontal="center" vertical="center" wrapText="1"/>
    </xf>
    <xf numFmtId="3" fontId="96" fillId="37" borderId="30" xfId="0" applyNumberFormat="1" applyFont="1" applyFill="1" applyBorder="1" applyAlignment="1">
      <alignment horizontal="center" vertical="center" wrapText="1"/>
    </xf>
    <xf numFmtId="3" fontId="96" fillId="37" borderId="15" xfId="56" applyNumberFormat="1" applyFont="1" applyFill="1" applyBorder="1" applyAlignment="1">
      <alignment horizontal="center" vertical="center" wrapText="1"/>
    </xf>
    <xf numFmtId="3" fontId="96" fillId="37" borderId="15" xfId="0" applyNumberFormat="1" applyFont="1" applyFill="1" applyBorder="1" applyAlignment="1">
      <alignment horizontal="center" vertical="center" wrapText="1"/>
    </xf>
    <xf numFmtId="3" fontId="96" fillId="37" borderId="31" xfId="56" applyNumberFormat="1" applyFont="1" applyFill="1" applyBorder="1" applyAlignment="1">
      <alignment horizontal="center" vertical="center" wrapText="1"/>
    </xf>
    <xf numFmtId="3" fontId="96" fillId="37" borderId="33" xfId="56" applyNumberFormat="1" applyFont="1" applyFill="1" applyBorder="1" applyAlignment="1">
      <alignment horizontal="center" vertical="center" wrapText="1"/>
    </xf>
    <xf numFmtId="3" fontId="96" fillId="0" borderId="0" xfId="0" applyNumberFormat="1" applyFont="1" applyFill="1" applyAlignment="1">
      <alignment horizontal="center" vertical="center" wrapText="1"/>
    </xf>
    <xf numFmtId="12" fontId="96" fillId="0" borderId="15" xfId="56" applyNumberFormat="1" applyFont="1" applyBorder="1" applyAlignment="1">
      <alignment horizontal="center" vertical="center" wrapText="1"/>
    </xf>
    <xf numFmtId="3" fontId="96" fillId="37" borderId="0" xfId="0" applyNumberFormat="1" applyFont="1" applyFill="1" applyBorder="1" applyAlignment="1">
      <alignment horizontal="center" vertical="center" wrapText="1"/>
    </xf>
    <xf numFmtId="3" fontId="96" fillId="37" borderId="0" xfId="0" applyNumberFormat="1" applyFont="1" applyFill="1" applyAlignment="1">
      <alignment horizontal="center" vertical="center" wrapText="1"/>
    </xf>
    <xf numFmtId="3" fontId="96" fillId="0" borderId="30" xfId="0" applyNumberFormat="1" applyFont="1" applyFill="1" applyBorder="1" applyAlignment="1">
      <alignment horizontal="center" vertical="center" wrapText="1"/>
    </xf>
    <xf numFmtId="3" fontId="96" fillId="37" borderId="14" xfId="56" applyNumberFormat="1" applyFont="1" applyFill="1" applyBorder="1" applyAlignment="1">
      <alignment horizontal="center" vertical="center" wrapText="1"/>
    </xf>
    <xf numFmtId="3" fontId="96" fillId="37" borderId="14" xfId="0" applyNumberFormat="1" applyFont="1" applyFill="1" applyBorder="1" applyAlignment="1">
      <alignment horizontal="center" vertical="center" wrapText="1"/>
    </xf>
    <xf numFmtId="3" fontId="96" fillId="34" borderId="34" xfId="0" applyNumberFormat="1" applyFont="1" applyFill="1" applyBorder="1" applyAlignment="1">
      <alignment horizontal="center" vertical="center" wrapText="1"/>
    </xf>
    <xf numFmtId="3" fontId="96" fillId="37" borderId="35" xfId="56" applyNumberFormat="1" applyFont="1" applyFill="1" applyBorder="1" applyAlignment="1">
      <alignment horizontal="center" vertical="center" wrapText="1"/>
    </xf>
    <xf numFmtId="3" fontId="96" fillId="34" borderId="36" xfId="0" applyNumberFormat="1" applyFont="1" applyFill="1" applyBorder="1" applyAlignment="1">
      <alignment horizontal="center" vertical="center" wrapText="1"/>
    </xf>
    <xf numFmtId="3" fontId="96" fillId="37" borderId="13" xfId="56" applyNumberFormat="1" applyFont="1" applyFill="1" applyBorder="1" applyAlignment="1">
      <alignment horizontal="center" vertical="center" wrapText="1"/>
    </xf>
    <xf numFmtId="3" fontId="96" fillId="36" borderId="34" xfId="0" applyNumberFormat="1" applyFont="1" applyFill="1" applyBorder="1" applyAlignment="1">
      <alignment horizontal="center" vertical="center" wrapText="1"/>
    </xf>
    <xf numFmtId="3" fontId="96" fillId="37" borderId="34" xfId="0" applyNumberFormat="1" applyFont="1" applyFill="1" applyBorder="1" applyAlignment="1">
      <alignment horizontal="center" vertical="center" wrapText="1"/>
    </xf>
    <xf numFmtId="3" fontId="96" fillId="34" borderId="15" xfId="0" applyNumberFormat="1" applyFont="1" applyFill="1" applyBorder="1" applyAlignment="1">
      <alignment horizontal="center" vertical="center" wrapText="1"/>
    </xf>
    <xf numFmtId="3" fontId="96" fillId="36" borderId="15" xfId="0" applyNumberFormat="1" applyFont="1" applyFill="1" applyBorder="1" applyAlignment="1">
      <alignment horizontal="center" vertical="center" wrapText="1"/>
    </xf>
    <xf numFmtId="3" fontId="97" fillId="6" borderId="37" xfId="0" applyNumberFormat="1" applyFont="1" applyFill="1" applyBorder="1" applyAlignment="1">
      <alignment vertical="center" wrapText="1"/>
    </xf>
    <xf numFmtId="3" fontId="97" fillId="6" borderId="0" xfId="0" applyNumberFormat="1" applyFont="1" applyFill="1" applyBorder="1" applyAlignment="1">
      <alignment horizontal="center" vertical="center" wrapText="1"/>
    </xf>
    <xf numFmtId="3" fontId="97" fillId="34" borderId="0" xfId="0" applyNumberFormat="1" applyFont="1" applyFill="1" applyBorder="1" applyAlignment="1">
      <alignment horizontal="center" vertical="center" wrapText="1"/>
    </xf>
    <xf numFmtId="3" fontId="97" fillId="6" borderId="24" xfId="0" applyNumberFormat="1" applyFont="1" applyFill="1" applyBorder="1" applyAlignment="1">
      <alignment horizontal="center" vertical="center" wrapText="1"/>
    </xf>
    <xf numFmtId="3" fontId="97" fillId="34" borderId="25" xfId="0" applyNumberFormat="1" applyFont="1" applyFill="1" applyBorder="1" applyAlignment="1">
      <alignment horizontal="center" vertical="center" wrapText="1"/>
    </xf>
    <xf numFmtId="10" fontId="96" fillId="0" borderId="0" xfId="0" applyNumberFormat="1" applyFont="1" applyAlignment="1">
      <alignment horizontal="center" vertical="center" wrapText="1"/>
    </xf>
    <xf numFmtId="3" fontId="96" fillId="0" borderId="31" xfId="56" applyNumberFormat="1" applyFont="1" applyFill="1" applyBorder="1" applyAlignment="1">
      <alignment horizontal="center" vertical="center" wrapText="1"/>
    </xf>
    <xf numFmtId="3" fontId="96" fillId="0" borderId="33" xfId="56" applyNumberFormat="1" applyFont="1" applyFill="1" applyBorder="1" applyAlignment="1">
      <alignment horizontal="center" vertical="center" wrapText="1"/>
    </xf>
    <xf numFmtId="3" fontId="96" fillId="0" borderId="0" xfId="0" applyNumberFormat="1" applyFont="1" applyFill="1" applyBorder="1" applyAlignment="1">
      <alignment horizontal="center" vertical="center" wrapText="1"/>
    </xf>
    <xf numFmtId="3" fontId="96" fillId="0" borderId="0" xfId="56" applyNumberFormat="1" applyFont="1" applyFill="1" applyBorder="1" applyAlignment="1">
      <alignment horizontal="center" vertical="center" wrapText="1"/>
    </xf>
    <xf numFmtId="12" fontId="96" fillId="0" borderId="15" xfId="56" applyNumberFormat="1" applyFont="1" applyFill="1" applyBorder="1" applyAlignment="1">
      <alignment horizontal="center" vertical="center" wrapText="1"/>
    </xf>
    <xf numFmtId="0" fontId="7" fillId="0" borderId="15" xfId="58" applyNumberFormat="1" applyFont="1" applyFill="1" applyBorder="1" applyAlignment="1" applyProtection="1">
      <alignment horizontal="left" vertical="center" wrapText="1"/>
      <protection locked="0"/>
    </xf>
    <xf numFmtId="3" fontId="97" fillId="6" borderId="23" xfId="0" applyNumberFormat="1" applyFont="1" applyFill="1" applyBorder="1" applyAlignment="1">
      <alignment vertical="center" wrapText="1"/>
    </xf>
    <xf numFmtId="12" fontId="96" fillId="37" borderId="15" xfId="56" applyNumberFormat="1" applyFont="1" applyFill="1" applyBorder="1" applyAlignment="1">
      <alignment horizontal="center" vertical="center" wrapText="1"/>
    </xf>
    <xf numFmtId="3" fontId="96" fillId="0" borderId="35" xfId="56" applyNumberFormat="1" applyFont="1" applyBorder="1" applyAlignment="1">
      <alignment horizontal="center" vertical="center" wrapText="1"/>
    </xf>
    <xf numFmtId="3" fontId="96" fillId="0" borderId="13" xfId="56" applyNumberFormat="1" applyFont="1" applyBorder="1" applyAlignment="1">
      <alignment horizontal="center" vertical="center" wrapText="1"/>
    </xf>
    <xf numFmtId="3" fontId="4" fillId="37" borderId="15" xfId="0" applyNumberFormat="1" applyFont="1" applyFill="1" applyBorder="1" applyAlignment="1">
      <alignment horizontal="center" vertical="center" wrapText="1"/>
    </xf>
    <xf numFmtId="3" fontId="4" fillId="37" borderId="33" xfId="56" applyNumberFormat="1" applyFont="1" applyFill="1" applyBorder="1" applyAlignment="1">
      <alignment horizontal="center" vertical="center" wrapText="1"/>
    </xf>
    <xf numFmtId="3" fontId="4" fillId="37" borderId="31" xfId="56" applyNumberFormat="1" applyFont="1" applyFill="1" applyBorder="1" applyAlignment="1">
      <alignment horizontal="center" vertical="center" wrapText="1"/>
    </xf>
    <xf numFmtId="3" fontId="4" fillId="37" borderId="30" xfId="0" applyNumberFormat="1" applyFont="1" applyFill="1" applyBorder="1" applyAlignment="1">
      <alignment horizontal="center" vertical="center" wrapText="1"/>
    </xf>
    <xf numFmtId="3" fontId="4" fillId="37" borderId="0" xfId="0" applyNumberFormat="1" applyFont="1" applyFill="1" applyBorder="1" applyAlignment="1">
      <alignment horizontal="center" vertical="center" wrapText="1"/>
    </xf>
    <xf numFmtId="3" fontId="7" fillId="0" borderId="37" xfId="60" applyNumberFormat="1" applyFont="1" applyFill="1" applyBorder="1" applyAlignment="1">
      <alignment horizontal="left" vertical="center" wrapText="1"/>
      <protection/>
    </xf>
    <xf numFmtId="3" fontId="96" fillId="0" borderId="0" xfId="56" applyNumberFormat="1" applyFont="1" applyBorder="1" applyAlignment="1">
      <alignment horizontal="center" vertical="center" wrapText="1"/>
    </xf>
    <xf numFmtId="3" fontId="96" fillId="0" borderId="24" xfId="56" applyNumberFormat="1" applyFont="1" applyBorder="1" applyAlignment="1">
      <alignment horizontal="center" vertical="center" wrapText="1"/>
    </xf>
    <xf numFmtId="3" fontId="96" fillId="36" borderId="0" xfId="0" applyNumberFormat="1" applyFont="1" applyFill="1" applyBorder="1" applyAlignment="1">
      <alignment horizontal="center" vertical="center" wrapText="1"/>
    </xf>
    <xf numFmtId="9" fontId="96" fillId="37" borderId="15" xfId="0" applyNumberFormat="1" applyFont="1" applyFill="1" applyBorder="1" applyAlignment="1">
      <alignment horizontal="center" vertical="center" wrapText="1"/>
    </xf>
    <xf numFmtId="3" fontId="97" fillId="34" borderId="30" xfId="0" applyNumberFormat="1" applyFont="1" applyFill="1" applyBorder="1" applyAlignment="1">
      <alignment horizontal="center" vertical="center" wrapText="1"/>
    </xf>
    <xf numFmtId="3" fontId="97" fillId="34" borderId="32" xfId="0" applyNumberFormat="1" applyFont="1" applyFill="1" applyBorder="1" applyAlignment="1">
      <alignment horizontal="center" vertical="center" wrapText="1"/>
    </xf>
    <xf numFmtId="3" fontId="97" fillId="0" borderId="30" xfId="0" applyNumberFormat="1" applyFont="1" applyBorder="1" applyAlignment="1">
      <alignment horizontal="center" vertical="center" wrapText="1"/>
    </xf>
    <xf numFmtId="3" fontId="97" fillId="0" borderId="0" xfId="0" applyNumberFormat="1" applyFont="1" applyBorder="1" applyAlignment="1">
      <alignment horizontal="center" vertical="center" wrapText="1"/>
    </xf>
    <xf numFmtId="3" fontId="97" fillId="34" borderId="23" xfId="0" applyNumberFormat="1" applyFont="1" applyFill="1" applyBorder="1" applyAlignment="1">
      <alignment horizontal="center" vertical="center" wrapText="1"/>
    </xf>
    <xf numFmtId="3" fontId="96" fillId="0" borderId="26" xfId="0" applyNumberFormat="1" applyFont="1" applyBorder="1" applyAlignment="1">
      <alignment horizontal="center" vertical="center" wrapText="1"/>
    </xf>
    <xf numFmtId="3" fontId="97" fillId="6" borderId="23" xfId="0" applyNumberFormat="1" applyFont="1" applyFill="1" applyBorder="1" applyAlignment="1">
      <alignment horizontal="center" vertical="center" wrapText="1"/>
    </xf>
    <xf numFmtId="3" fontId="96" fillId="0" borderId="34" xfId="0" applyNumberFormat="1" applyFont="1" applyFill="1" applyBorder="1" applyAlignment="1">
      <alignment horizontal="center" vertical="center" wrapText="1"/>
    </xf>
    <xf numFmtId="3" fontId="97" fillId="0" borderId="30" xfId="0" applyNumberFormat="1" applyFont="1" applyFill="1" applyBorder="1" applyAlignment="1">
      <alignment horizontal="center" vertical="center" wrapText="1"/>
    </xf>
    <xf numFmtId="3" fontId="97" fillId="0" borderId="23"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0" fontId="7" fillId="0" borderId="31" xfId="58" applyNumberFormat="1" applyFont="1" applyFill="1" applyBorder="1" applyAlignment="1" applyProtection="1">
      <alignment horizontal="left" vertical="center" wrapText="1"/>
      <protection locked="0"/>
    </xf>
    <xf numFmtId="3" fontId="97" fillId="6" borderId="37" xfId="0" applyNumberFormat="1" applyFont="1" applyFill="1" applyBorder="1" applyAlignment="1">
      <alignment horizontal="center" vertical="center" wrapText="1"/>
    </xf>
    <xf numFmtId="3" fontId="97" fillId="6" borderId="38" xfId="0" applyNumberFormat="1" applyFont="1" applyFill="1" applyBorder="1" applyAlignment="1">
      <alignment horizontal="center" vertical="center" wrapText="1"/>
    </xf>
    <xf numFmtId="3" fontId="97" fillId="34" borderId="39" xfId="0" applyNumberFormat="1" applyFont="1" applyFill="1" applyBorder="1" applyAlignment="1">
      <alignment horizontal="center" vertical="center" wrapText="1"/>
    </xf>
    <xf numFmtId="3" fontId="97" fillId="34" borderId="37" xfId="0" applyNumberFormat="1" applyFont="1" applyFill="1" applyBorder="1" applyAlignment="1">
      <alignment horizontal="center" vertical="center" wrapText="1"/>
    </xf>
    <xf numFmtId="3" fontId="96" fillId="36" borderId="40" xfId="0" applyNumberFormat="1" applyFont="1" applyFill="1" applyBorder="1" applyAlignment="1">
      <alignment horizontal="center" vertical="center" wrapText="1"/>
    </xf>
    <xf numFmtId="3" fontId="7" fillId="0" borderId="23" xfId="60" applyNumberFormat="1" applyFont="1" applyFill="1" applyBorder="1" applyAlignment="1">
      <alignment horizontal="left" vertical="center" wrapText="1"/>
      <protection/>
    </xf>
    <xf numFmtId="3" fontId="96" fillId="0" borderId="23" xfId="56" applyNumberFormat="1" applyFont="1" applyFill="1" applyBorder="1" applyAlignment="1">
      <alignment horizontal="center" vertical="center" wrapText="1"/>
    </xf>
    <xf numFmtId="3" fontId="96" fillId="0" borderId="23" xfId="0" applyNumberFormat="1" applyFont="1" applyFill="1" applyBorder="1" applyAlignment="1">
      <alignment horizontal="center" vertical="center" wrapText="1"/>
    </xf>
    <xf numFmtId="3" fontId="96" fillId="0" borderId="41" xfId="56" applyNumberFormat="1" applyFont="1" applyFill="1" applyBorder="1" applyAlignment="1">
      <alignment horizontal="center" vertical="center" wrapText="1"/>
    </xf>
    <xf numFmtId="3" fontId="96" fillId="34" borderId="42" xfId="0" applyNumberFormat="1" applyFont="1" applyFill="1" applyBorder="1" applyAlignment="1">
      <alignment horizontal="center" vertical="center" wrapText="1"/>
    </xf>
    <xf numFmtId="3" fontId="96" fillId="34" borderId="23" xfId="0" applyNumberFormat="1" applyFont="1" applyFill="1" applyBorder="1" applyAlignment="1">
      <alignment horizontal="center" vertical="center" wrapText="1"/>
    </xf>
    <xf numFmtId="0" fontId="92" fillId="34" borderId="15" xfId="0" applyFont="1" applyFill="1" applyBorder="1" applyAlignment="1">
      <alignment horizontal="left" wrapText="1"/>
    </xf>
    <xf numFmtId="0" fontId="0" fillId="0" borderId="43"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99" fillId="38" borderId="0" xfId="0" applyFont="1" applyFill="1" applyAlignment="1">
      <alignment/>
    </xf>
    <xf numFmtId="4" fontId="0" fillId="0" borderId="45" xfId="0" applyNumberFormat="1" applyBorder="1" applyAlignment="1">
      <alignment/>
    </xf>
    <xf numFmtId="4" fontId="0" fillId="0" borderId="46" xfId="0" applyNumberFormat="1" applyBorder="1" applyAlignment="1">
      <alignment/>
    </xf>
    <xf numFmtId="10" fontId="92" fillId="0" borderId="21" xfId="42" applyNumberFormat="1" applyFont="1" applyBorder="1" applyAlignment="1">
      <alignment/>
    </xf>
    <xf numFmtId="0" fontId="0" fillId="0" borderId="0" xfId="0" applyBorder="1" applyAlignment="1">
      <alignment/>
    </xf>
    <xf numFmtId="0" fontId="0" fillId="37" borderId="0" xfId="0" applyFill="1" applyBorder="1" applyAlignment="1">
      <alignment/>
    </xf>
    <xf numFmtId="0" fontId="0" fillId="38" borderId="0" xfId="0" applyFill="1" applyAlignment="1">
      <alignment/>
    </xf>
    <xf numFmtId="0" fontId="9" fillId="38" borderId="32" xfId="58" applyFont="1" applyFill="1" applyBorder="1" applyAlignment="1" applyProtection="1">
      <alignment horizontal="center" vertical="center" wrapText="1"/>
      <protection locked="0"/>
    </xf>
    <xf numFmtId="0" fontId="9" fillId="38" borderId="31" xfId="58" applyFont="1" applyFill="1" applyBorder="1" applyAlignment="1" applyProtection="1">
      <alignment horizontal="center" vertical="center" wrapText="1"/>
      <protection locked="0"/>
    </xf>
    <xf numFmtId="0" fontId="10" fillId="0" borderId="31" xfId="58" applyNumberFormat="1" applyFont="1" applyBorder="1" applyAlignment="1" applyProtection="1">
      <alignment horizontal="left" vertical="top"/>
      <protection locked="0"/>
    </xf>
    <xf numFmtId="0" fontId="100" fillId="0" borderId="15" xfId="0" applyNumberFormat="1" applyFont="1" applyBorder="1" applyAlignment="1">
      <alignment horizontal="center"/>
    </xf>
    <xf numFmtId="187" fontId="100" fillId="0" borderId="32" xfId="56" applyNumberFormat="1" applyFont="1" applyBorder="1" applyAlignment="1">
      <alignment horizontal="center"/>
    </xf>
    <xf numFmtId="187" fontId="100" fillId="0" borderId="31" xfId="56" applyNumberFormat="1" applyFont="1" applyBorder="1" applyAlignment="1">
      <alignment horizontal="center"/>
    </xf>
    <xf numFmtId="0" fontId="10" fillId="0" borderId="31" xfId="58" applyNumberFormat="1" applyFont="1" applyFill="1" applyBorder="1" applyAlignment="1" applyProtection="1">
      <alignment horizontal="left" vertical="top"/>
      <protection locked="0"/>
    </xf>
    <xf numFmtId="187" fontId="100" fillId="37" borderId="32" xfId="56" applyNumberFormat="1" applyFont="1" applyFill="1" applyBorder="1" applyAlignment="1">
      <alignment horizontal="center"/>
    </xf>
    <xf numFmtId="187" fontId="100" fillId="37" borderId="31" xfId="56" applyNumberFormat="1" applyFont="1" applyFill="1" applyBorder="1" applyAlignment="1">
      <alignment horizontal="center"/>
    </xf>
    <xf numFmtId="0" fontId="0" fillId="37" borderId="0" xfId="0" applyFill="1" applyAlignment="1">
      <alignment/>
    </xf>
    <xf numFmtId="0" fontId="0" fillId="37" borderId="0" xfId="0" applyFont="1" applyFill="1" applyBorder="1" applyAlignment="1">
      <alignment/>
    </xf>
    <xf numFmtId="0" fontId="0" fillId="37" borderId="0" xfId="0" applyFont="1" applyFill="1" applyAlignment="1">
      <alignment/>
    </xf>
    <xf numFmtId="187" fontId="100" fillId="0" borderId="47" xfId="56" applyNumberFormat="1" applyFont="1" applyBorder="1" applyAlignment="1">
      <alignment horizontal="center"/>
    </xf>
    <xf numFmtId="187" fontId="100" fillId="0" borderId="48" xfId="56" applyNumberFormat="1" applyFont="1" applyBorder="1" applyAlignment="1">
      <alignment horizontal="center"/>
    </xf>
    <xf numFmtId="187" fontId="100" fillId="0" borderId="49" xfId="56" applyNumberFormat="1" applyFont="1" applyBorder="1" applyAlignment="1">
      <alignment horizontal="center"/>
    </xf>
    <xf numFmtId="187" fontId="100" fillId="0" borderId="15" xfId="56" applyNumberFormat="1" applyFont="1" applyBorder="1" applyAlignment="1">
      <alignment horizontal="center"/>
    </xf>
    <xf numFmtId="0" fontId="0" fillId="0" borderId="33" xfId="0" applyBorder="1" applyAlignment="1">
      <alignment/>
    </xf>
    <xf numFmtId="0" fontId="0" fillId="0" borderId="15" xfId="0" applyBorder="1" applyAlignment="1">
      <alignment/>
    </xf>
    <xf numFmtId="0" fontId="0" fillId="0" borderId="0" xfId="0" applyFill="1" applyBorder="1" applyAlignment="1">
      <alignment/>
    </xf>
    <xf numFmtId="9" fontId="92" fillId="0" borderId="21" xfId="42" applyNumberFormat="1" applyFont="1" applyBorder="1" applyAlignment="1">
      <alignment/>
    </xf>
    <xf numFmtId="3" fontId="96" fillId="0" borderId="0" xfId="0" applyNumberFormat="1" applyFont="1" applyAlignment="1">
      <alignment horizontal="center" vertical="center" wrapText="1"/>
    </xf>
    <xf numFmtId="3" fontId="97" fillId="0" borderId="0" xfId="0" applyNumberFormat="1" applyFont="1" applyFill="1" applyAlignment="1">
      <alignment horizontal="center" vertical="center" wrapText="1"/>
    </xf>
    <xf numFmtId="3" fontId="97" fillId="0" borderId="37" xfId="0" applyNumberFormat="1" applyFont="1" applyFill="1" applyBorder="1" applyAlignment="1">
      <alignment horizontal="center" vertical="center" wrapText="1"/>
    </xf>
    <xf numFmtId="3" fontId="96" fillId="0" borderId="50" xfId="0" applyNumberFormat="1" applyFont="1" applyFill="1" applyBorder="1" applyAlignment="1">
      <alignment horizontal="center" vertical="center" wrapText="1"/>
    </xf>
    <xf numFmtId="0" fontId="101" fillId="38" borderId="51" xfId="0" applyFont="1" applyFill="1" applyBorder="1" applyAlignment="1">
      <alignment horizontal="center" vertical="center"/>
    </xf>
    <xf numFmtId="0" fontId="0" fillId="0" borderId="24" xfId="0" applyBorder="1" applyAlignment="1">
      <alignment horizontal="center"/>
    </xf>
    <xf numFmtId="0" fontId="100" fillId="0" borderId="41" xfId="0" applyNumberFormat="1" applyFont="1" applyBorder="1" applyAlignment="1">
      <alignment horizontal="center"/>
    </xf>
    <xf numFmtId="0" fontId="100" fillId="37" borderId="41" xfId="0" applyNumberFormat="1" applyFont="1" applyFill="1" applyBorder="1" applyAlignment="1">
      <alignment horizontal="center"/>
    </xf>
    <xf numFmtId="0" fontId="0" fillId="37" borderId="41" xfId="0" applyFill="1" applyBorder="1" applyAlignment="1">
      <alignment horizontal="center"/>
    </xf>
    <xf numFmtId="0" fontId="100" fillId="0" borderId="41" xfId="0" applyNumberFormat="1" applyFont="1" applyFill="1" applyBorder="1" applyAlignment="1">
      <alignment horizontal="center"/>
    </xf>
    <xf numFmtId="0" fontId="100" fillId="0" borderId="38" xfId="0" applyNumberFormat="1" applyFont="1" applyBorder="1" applyAlignment="1">
      <alignment horizontal="center"/>
    </xf>
    <xf numFmtId="0" fontId="100" fillId="0" borderId="24" xfId="0" applyNumberFormat="1" applyFont="1" applyBorder="1" applyAlignment="1">
      <alignment horizontal="center"/>
    </xf>
    <xf numFmtId="0" fontId="9" fillId="38" borderId="52" xfId="58" applyFont="1" applyFill="1" applyBorder="1" applyAlignment="1" applyProtection="1">
      <alignment vertical="center" wrapText="1"/>
      <protection locked="0"/>
    </xf>
    <xf numFmtId="0" fontId="0" fillId="38" borderId="38" xfId="0" applyFill="1" applyBorder="1" applyAlignment="1">
      <alignment/>
    </xf>
    <xf numFmtId="0" fontId="101" fillId="38" borderId="51" xfId="0" applyFont="1" applyFill="1" applyBorder="1" applyAlignment="1">
      <alignment vertical="center"/>
    </xf>
    <xf numFmtId="0" fontId="99" fillId="33" borderId="43" xfId="0" applyFont="1" applyFill="1" applyBorder="1" applyAlignment="1">
      <alignment/>
    </xf>
    <xf numFmtId="0" fontId="99" fillId="0" borderId="53" xfId="0" applyFont="1" applyBorder="1" applyAlignment="1">
      <alignment/>
    </xf>
    <xf numFmtId="4" fontId="99" fillId="0" borderId="54" xfId="0" applyNumberFormat="1" applyFont="1" applyBorder="1" applyAlignment="1">
      <alignment/>
    </xf>
    <xf numFmtId="0" fontId="102" fillId="0" borderId="0" xfId="0" applyFont="1" applyAlignment="1">
      <alignment/>
    </xf>
    <xf numFmtId="0" fontId="10" fillId="0" borderId="48" xfId="58" applyNumberFormat="1" applyFont="1" applyFill="1" applyBorder="1" applyAlignment="1" applyProtection="1">
      <alignment horizontal="left" vertical="top"/>
      <protection locked="0"/>
    </xf>
    <xf numFmtId="0" fontId="10" fillId="0" borderId="49" xfId="58" applyNumberFormat="1" applyFont="1" applyFill="1" applyBorder="1" applyAlignment="1" applyProtection="1">
      <alignment horizontal="left" vertical="top"/>
      <protection locked="0"/>
    </xf>
    <xf numFmtId="3" fontId="96" fillId="39" borderId="32" xfId="0" applyNumberFormat="1" applyFont="1" applyFill="1" applyBorder="1" applyAlignment="1">
      <alignment horizontal="center" vertical="center" wrapText="1"/>
    </xf>
    <xf numFmtId="3" fontId="96" fillId="39" borderId="36" xfId="0" applyNumberFormat="1" applyFont="1" applyFill="1" applyBorder="1" applyAlignment="1">
      <alignment horizontal="center" vertical="center" wrapText="1"/>
    </xf>
    <xf numFmtId="3" fontId="96" fillId="39" borderId="34" xfId="0" applyNumberFormat="1" applyFont="1" applyFill="1" applyBorder="1" applyAlignment="1">
      <alignment horizontal="center" vertical="center" wrapText="1"/>
    </xf>
    <xf numFmtId="3" fontId="96" fillId="39" borderId="30" xfId="0" applyNumberFormat="1" applyFont="1" applyFill="1" applyBorder="1" applyAlignment="1">
      <alignment horizontal="center" vertical="center" wrapText="1"/>
    </xf>
    <xf numFmtId="0" fontId="92" fillId="0" borderId="15" xfId="0" applyFont="1" applyFill="1" applyBorder="1" applyAlignment="1">
      <alignment horizontal="left" wrapText="1"/>
    </xf>
    <xf numFmtId="0" fontId="0" fillId="0" borderId="53" xfId="0" applyBorder="1" applyAlignment="1">
      <alignment/>
    </xf>
    <xf numFmtId="4" fontId="0" fillId="0" borderId="54" xfId="0" applyNumberFormat="1" applyBorder="1" applyAlignment="1">
      <alignment/>
    </xf>
    <xf numFmtId="0" fontId="103" fillId="0" borderId="53" xfId="0" applyFont="1" applyBorder="1" applyAlignment="1">
      <alignment/>
    </xf>
    <xf numFmtId="4" fontId="103" fillId="0" borderId="54" xfId="0" applyNumberFormat="1" applyFont="1" applyBorder="1" applyAlignment="1">
      <alignment/>
    </xf>
    <xf numFmtId="0" fontId="103" fillId="0" borderId="44" xfId="0" applyFont="1" applyBorder="1" applyAlignment="1">
      <alignment/>
    </xf>
    <xf numFmtId="4" fontId="103" fillId="0" borderId="46" xfId="0" applyNumberFormat="1" applyFont="1" applyBorder="1" applyAlignment="1">
      <alignment/>
    </xf>
    <xf numFmtId="4" fontId="99" fillId="0" borderId="0" xfId="0" applyNumberFormat="1" applyFont="1" applyAlignment="1">
      <alignment/>
    </xf>
    <xf numFmtId="0" fontId="99" fillId="40" borderId="43" xfId="0" applyFont="1" applyFill="1" applyBorder="1" applyAlignment="1">
      <alignment/>
    </xf>
    <xf numFmtId="0" fontId="99" fillId="0" borderId="44" xfId="0" applyFont="1" applyFill="1" applyBorder="1" applyAlignment="1">
      <alignment horizontal="right"/>
    </xf>
    <xf numFmtId="0" fontId="0" fillId="0" borderId="55" xfId="0" applyBorder="1" applyAlignment="1">
      <alignment/>
    </xf>
    <xf numFmtId="0" fontId="0" fillId="0" borderId="56" xfId="0" applyBorder="1" applyAlignment="1">
      <alignment/>
    </xf>
    <xf numFmtId="4" fontId="99" fillId="0" borderId="43" xfId="0" applyNumberFormat="1" applyFont="1" applyBorder="1" applyAlignment="1">
      <alignment horizontal="center"/>
    </xf>
    <xf numFmtId="4" fontId="99" fillId="0" borderId="57" xfId="0" applyNumberFormat="1" applyFont="1" applyBorder="1" applyAlignment="1">
      <alignment horizontal="center"/>
    </xf>
    <xf numFmtId="4" fontId="99" fillId="0" borderId="58" xfId="0" applyNumberFormat="1" applyFont="1" applyBorder="1" applyAlignment="1">
      <alignment horizontal="center"/>
    </xf>
    <xf numFmtId="4" fontId="0" fillId="0" borderId="43" xfId="0" applyNumberFormat="1" applyBorder="1" applyAlignment="1">
      <alignment/>
    </xf>
    <xf numFmtId="4" fontId="0" fillId="0" borderId="57" xfId="0" applyNumberFormat="1" applyBorder="1" applyAlignment="1">
      <alignment/>
    </xf>
    <xf numFmtId="4" fontId="0" fillId="0" borderId="58" xfId="0" applyNumberFormat="1" applyBorder="1" applyAlignment="1">
      <alignment/>
    </xf>
    <xf numFmtId="4" fontId="0" fillId="0" borderId="44" xfId="0" applyNumberFormat="1" applyBorder="1" applyAlignment="1">
      <alignment/>
    </xf>
    <xf numFmtId="4" fontId="0" fillId="0" borderId="59" xfId="0" applyNumberFormat="1" applyBorder="1" applyAlignment="1">
      <alignment/>
    </xf>
    <xf numFmtId="4" fontId="0" fillId="40" borderId="0" xfId="0" applyNumberFormat="1" applyFill="1" applyAlignment="1">
      <alignment/>
    </xf>
    <xf numFmtId="3"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4" fontId="96" fillId="35" borderId="15" xfId="0" applyNumberFormat="1" applyFont="1" applyFill="1" applyBorder="1" applyAlignment="1">
      <alignment/>
    </xf>
    <xf numFmtId="3" fontId="96" fillId="0" borderId="0" xfId="0" applyNumberFormat="1" applyFont="1" applyAlignment="1">
      <alignment horizontal="center" vertical="center" wrapText="1"/>
    </xf>
    <xf numFmtId="4" fontId="99" fillId="0" borderId="38" xfId="0" applyNumberFormat="1" applyFont="1" applyBorder="1" applyAlignment="1">
      <alignment/>
    </xf>
    <xf numFmtId="190" fontId="99" fillId="0" borderId="37" xfId="0" applyNumberFormat="1" applyFont="1" applyBorder="1" applyAlignment="1">
      <alignment/>
    </xf>
    <xf numFmtId="0" fontId="99" fillId="0" borderId="37" xfId="0" applyFont="1" applyBorder="1" applyAlignment="1">
      <alignment/>
    </xf>
    <xf numFmtId="186" fontId="0" fillId="0" borderId="0" xfId="0" applyNumberFormat="1" applyAlignment="1">
      <alignment/>
    </xf>
    <xf numFmtId="4" fontId="0" fillId="35" borderId="0" xfId="0" applyNumberFormat="1" applyFill="1" applyAlignment="1">
      <alignment/>
    </xf>
    <xf numFmtId="4" fontId="103" fillId="0" borderId="44" xfId="0" applyNumberFormat="1" applyFont="1" applyBorder="1" applyAlignment="1">
      <alignment/>
    </xf>
    <xf numFmtId="4" fontId="103" fillId="0" borderId="0" xfId="0" applyNumberFormat="1" applyFont="1" applyAlignment="1">
      <alignment/>
    </xf>
    <xf numFmtId="4" fontId="103" fillId="0" borderId="59" xfId="0" applyNumberFormat="1" applyFont="1" applyBorder="1" applyAlignment="1">
      <alignment/>
    </xf>
    <xf numFmtId="0" fontId="104" fillId="0" borderId="53" xfId="0" applyFont="1" applyBorder="1" applyAlignment="1">
      <alignment horizontal="right"/>
    </xf>
    <xf numFmtId="4" fontId="104" fillId="0" borderId="53" xfId="0" applyNumberFormat="1" applyFont="1" applyBorder="1" applyAlignment="1">
      <alignment/>
    </xf>
    <xf numFmtId="4" fontId="104" fillId="0" borderId="60" xfId="0" applyNumberFormat="1" applyFont="1" applyBorder="1" applyAlignment="1">
      <alignment/>
    </xf>
    <xf numFmtId="4" fontId="104" fillId="0" borderId="61" xfId="0" applyNumberFormat="1" applyFont="1" applyBorder="1" applyAlignment="1">
      <alignment/>
    </xf>
    <xf numFmtId="4" fontId="99" fillId="0" borderId="0" xfId="0" applyNumberFormat="1" applyFont="1" applyFill="1" applyAlignment="1">
      <alignment/>
    </xf>
    <xf numFmtId="3" fontId="96" fillId="0" borderId="0" xfId="0" applyNumberFormat="1" applyFont="1" applyAlignment="1">
      <alignment horizontal="center" vertical="center" wrapText="1"/>
    </xf>
    <xf numFmtId="186" fontId="92" fillId="33" borderId="0" xfId="0" applyNumberFormat="1" applyFont="1" applyFill="1" applyAlignment="1">
      <alignment/>
    </xf>
    <xf numFmtId="3" fontId="96" fillId="0" borderId="0" xfId="0" applyNumberFormat="1" applyFont="1" applyAlignment="1">
      <alignment horizontal="center" vertical="center" wrapText="1"/>
    </xf>
    <xf numFmtId="3" fontId="96" fillId="35" borderId="0" xfId="0" applyNumberFormat="1" applyFont="1" applyFill="1" applyAlignment="1">
      <alignment horizontal="center" vertical="center" wrapText="1"/>
    </xf>
    <xf numFmtId="3" fontId="96" fillId="0" borderId="0" xfId="0" applyNumberFormat="1" applyFont="1" applyAlignment="1">
      <alignment horizontal="center" vertical="center" wrapText="1"/>
    </xf>
    <xf numFmtId="0" fontId="92" fillId="0" borderId="15" xfId="0" applyFont="1" applyBorder="1" applyAlignment="1">
      <alignment horizontal="center"/>
    </xf>
    <xf numFmtId="3" fontId="96" fillId="0" borderId="0" xfId="0" applyNumberFormat="1" applyFont="1" applyAlignment="1">
      <alignment horizontal="center" vertical="center" wrapText="1"/>
    </xf>
    <xf numFmtId="177" fontId="92" fillId="0" borderId="0" xfId="0" applyNumberFormat="1" applyFont="1" applyAlignment="1">
      <alignment/>
    </xf>
    <xf numFmtId="186" fontId="92" fillId="0" borderId="0" xfId="0" applyNumberFormat="1" applyFont="1" applyAlignment="1">
      <alignment/>
    </xf>
    <xf numFmtId="4" fontId="99" fillId="40" borderId="0" xfId="0" applyNumberFormat="1" applyFont="1" applyFill="1" applyAlignment="1">
      <alignment/>
    </xf>
    <xf numFmtId="4" fontId="0" fillId="33" borderId="0" xfId="0" applyNumberFormat="1" applyFill="1" applyAlignment="1">
      <alignment/>
    </xf>
    <xf numFmtId="0" fontId="60" fillId="40" borderId="37" xfId="0" applyFont="1" applyFill="1" applyBorder="1" applyAlignment="1">
      <alignment horizontal="center"/>
    </xf>
    <xf numFmtId="0" fontId="0" fillId="0" borderId="62" xfId="0" applyBorder="1" applyAlignment="1">
      <alignment/>
    </xf>
    <xf numFmtId="0" fontId="0" fillId="0" borderId="63" xfId="0" applyBorder="1" applyAlignment="1">
      <alignment/>
    </xf>
    <xf numFmtId="0" fontId="0" fillId="0" borderId="62" xfId="0" applyBorder="1" applyAlignment="1">
      <alignment/>
    </xf>
    <xf numFmtId="3" fontId="0" fillId="0" borderId="63" xfId="0" applyNumberFormat="1" applyBorder="1" applyAlignment="1">
      <alignment/>
    </xf>
    <xf numFmtId="0" fontId="0" fillId="0" borderId="64" xfId="0" applyBorder="1" applyAlignment="1">
      <alignment/>
    </xf>
    <xf numFmtId="3" fontId="0" fillId="0" borderId="65" xfId="0" applyNumberFormat="1" applyBorder="1" applyAlignment="1">
      <alignment/>
    </xf>
    <xf numFmtId="0" fontId="99" fillId="33" borderId="62" xfId="0" applyFont="1" applyFill="1" applyBorder="1" applyAlignment="1">
      <alignment/>
    </xf>
    <xf numFmtId="3" fontId="99" fillId="0" borderId="66" xfId="0" applyNumberFormat="1" applyFont="1" applyBorder="1" applyAlignment="1">
      <alignment/>
    </xf>
    <xf numFmtId="0" fontId="99" fillId="0" borderId="67" xfId="0" applyFont="1" applyBorder="1" applyAlignment="1">
      <alignment/>
    </xf>
    <xf numFmtId="0" fontId="12" fillId="0" borderId="0" xfId="0" applyFont="1" applyFill="1" applyBorder="1" applyAlignment="1">
      <alignment horizontal="center" vertical="center"/>
    </xf>
    <xf numFmtId="3" fontId="96" fillId="40" borderId="0" xfId="0" applyNumberFormat="1" applyFont="1" applyFill="1" applyAlignment="1">
      <alignment horizontal="center" vertical="center" wrapText="1"/>
    </xf>
    <xf numFmtId="0" fontId="12" fillId="35" borderId="0" xfId="0" applyFont="1" applyFill="1" applyBorder="1" applyAlignment="1">
      <alignment horizontal="center" vertical="center"/>
    </xf>
    <xf numFmtId="0" fontId="7" fillId="0" borderId="68" xfId="60" applyFont="1" applyFill="1" applyBorder="1" applyAlignment="1">
      <alignment horizontal="left" vertical="center"/>
      <protection/>
    </xf>
    <xf numFmtId="0" fontId="7" fillId="0" borderId="69" xfId="60" applyFont="1" applyFill="1" applyBorder="1" applyAlignment="1">
      <alignment horizontal="left" vertical="center"/>
      <protection/>
    </xf>
    <xf numFmtId="0" fontId="7" fillId="0" borderId="70" xfId="60" applyFont="1" applyFill="1" applyBorder="1" applyAlignment="1">
      <alignment horizontal="left" vertical="center"/>
      <protection/>
    </xf>
    <xf numFmtId="4" fontId="0" fillId="40" borderId="0" xfId="0" applyNumberFormat="1" applyFill="1" applyBorder="1" applyAlignment="1">
      <alignment horizontal="center"/>
    </xf>
    <xf numFmtId="4" fontId="0" fillId="0" borderId="0" xfId="0" applyNumberFormat="1" applyFill="1" applyBorder="1" applyAlignment="1">
      <alignment/>
    </xf>
    <xf numFmtId="4" fontId="12" fillId="0" borderId="0" xfId="0" applyNumberFormat="1" applyFont="1" applyFill="1" applyBorder="1" applyAlignment="1">
      <alignment vertical="center"/>
    </xf>
    <xf numFmtId="4" fontId="13" fillId="0" borderId="0" xfId="0" applyNumberFormat="1" applyFont="1" applyFill="1" applyBorder="1" applyAlignment="1">
      <alignment vertical="center"/>
    </xf>
    <xf numFmtId="4" fontId="0" fillId="0" borderId="0" xfId="0" applyNumberFormat="1" applyBorder="1" applyAlignment="1">
      <alignment/>
    </xf>
    <xf numFmtId="4" fontId="99" fillId="0" borderId="0" xfId="0" applyNumberFormat="1" applyFont="1" applyBorder="1" applyAlignment="1">
      <alignment/>
    </xf>
    <xf numFmtId="4" fontId="99" fillId="33" borderId="71" xfId="0" applyNumberFormat="1" applyFont="1" applyFill="1" applyBorder="1" applyAlignment="1">
      <alignment/>
    </xf>
    <xf numFmtId="4" fontId="99" fillId="33" borderId="28" xfId="0" applyNumberFormat="1" applyFont="1" applyFill="1" applyBorder="1" applyAlignment="1">
      <alignment/>
    </xf>
    <xf numFmtId="0" fontId="8" fillId="33" borderId="72" xfId="60" applyFont="1" applyFill="1" applyBorder="1" applyAlignment="1">
      <alignment horizontal="right" vertical="center"/>
      <protection/>
    </xf>
    <xf numFmtId="3" fontId="96" fillId="40" borderId="23" xfId="0" applyNumberFormat="1" applyFont="1" applyFill="1" applyBorder="1" applyAlignment="1">
      <alignment horizontal="center" vertical="center" wrapText="1"/>
    </xf>
    <xf numFmtId="3" fontId="97" fillId="40" borderId="0" xfId="0" applyNumberFormat="1" applyFont="1" applyFill="1" applyBorder="1" applyAlignment="1">
      <alignment horizontal="center" vertical="center" wrapText="1"/>
    </xf>
    <xf numFmtId="3" fontId="97" fillId="40" borderId="37" xfId="0" applyNumberFormat="1" applyFont="1" applyFill="1" applyBorder="1" applyAlignment="1">
      <alignment horizontal="center" vertical="center" wrapText="1"/>
    </xf>
    <xf numFmtId="3" fontId="96" fillId="40" borderId="50" xfId="0" applyNumberFormat="1" applyFont="1" applyFill="1" applyBorder="1" applyAlignment="1">
      <alignment horizontal="center" vertical="center" wrapText="1"/>
    </xf>
    <xf numFmtId="4" fontId="0" fillId="35" borderId="0" xfId="0" applyNumberFormat="1" applyFill="1" applyBorder="1" applyAlignment="1">
      <alignment/>
    </xf>
    <xf numFmtId="4" fontId="13" fillId="34" borderId="0" xfId="0" applyNumberFormat="1" applyFont="1" applyFill="1" applyBorder="1" applyAlignment="1">
      <alignment vertical="center"/>
    </xf>
    <xf numFmtId="3" fontId="97" fillId="40" borderId="23" xfId="0" applyNumberFormat="1" applyFont="1" applyFill="1" applyBorder="1" applyAlignment="1">
      <alignment horizontal="center" vertical="center" wrapText="1"/>
    </xf>
    <xf numFmtId="3" fontId="96" fillId="40" borderId="0" xfId="0" applyNumberFormat="1" applyFont="1" applyFill="1" applyBorder="1" applyAlignment="1">
      <alignment horizontal="center" vertical="center" wrapText="1"/>
    </xf>
    <xf numFmtId="3" fontId="96" fillId="40" borderId="15"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3" fontId="7" fillId="0" borderId="14" xfId="60" applyNumberFormat="1" applyFont="1" applyFill="1" applyBorder="1" applyAlignment="1">
      <alignment horizontal="left" vertical="center" wrapText="1"/>
      <protection/>
    </xf>
    <xf numFmtId="3" fontId="97" fillId="0" borderId="37" xfId="0" applyNumberFormat="1" applyFont="1" applyFill="1" applyBorder="1" applyAlignment="1">
      <alignment vertical="center" wrapText="1"/>
    </xf>
    <xf numFmtId="3" fontId="97" fillId="0" borderId="23" xfId="0" applyNumberFormat="1" applyFont="1" applyFill="1" applyBorder="1" applyAlignment="1">
      <alignment vertical="center" wrapText="1"/>
    </xf>
    <xf numFmtId="3" fontId="4" fillId="0" borderId="15" xfId="60" applyNumberFormat="1" applyFont="1" applyFill="1" applyBorder="1" applyAlignment="1">
      <alignment horizontal="left" vertical="center" wrapText="1"/>
      <protection/>
    </xf>
    <xf numFmtId="0" fontId="92" fillId="33" borderId="14" xfId="0" applyFont="1" applyFill="1" applyBorder="1" applyAlignment="1">
      <alignment horizontal="center" vertical="center"/>
    </xf>
    <xf numFmtId="0" fontId="92" fillId="33" borderId="12" xfId="0" applyFont="1" applyFill="1" applyBorder="1" applyAlignment="1">
      <alignment horizontal="center" vertical="center"/>
    </xf>
    <xf numFmtId="3" fontId="92" fillId="0" borderId="10" xfId="42" applyNumberFormat="1" applyFont="1" applyBorder="1" applyAlignment="1">
      <alignment/>
    </xf>
    <xf numFmtId="3" fontId="92" fillId="0" borderId="21" xfId="42" applyNumberFormat="1" applyFont="1" applyBorder="1" applyAlignment="1">
      <alignment/>
    </xf>
    <xf numFmtId="3" fontId="92" fillId="0" borderId="73" xfId="42" applyNumberFormat="1" applyFont="1" applyBorder="1" applyAlignment="1">
      <alignment/>
    </xf>
    <xf numFmtId="3" fontId="92" fillId="16" borderId="15" xfId="42" applyNumberFormat="1" applyFont="1" applyFill="1" applyBorder="1" applyAlignment="1">
      <alignment/>
    </xf>
    <xf numFmtId="186" fontId="92" fillId="16" borderId="30" xfId="42" applyNumberFormat="1" applyFont="1" applyFill="1" applyBorder="1" applyAlignment="1">
      <alignment/>
    </xf>
    <xf numFmtId="186" fontId="92" fillId="0" borderId="73" xfId="42" applyNumberFormat="1" applyFont="1" applyBorder="1" applyAlignment="1">
      <alignment/>
    </xf>
    <xf numFmtId="186" fontId="92" fillId="16" borderId="33" xfId="42" applyNumberFormat="1" applyFont="1" applyFill="1" applyBorder="1" applyAlignment="1">
      <alignment/>
    </xf>
    <xf numFmtId="10" fontId="92" fillId="0" borderId="74" xfId="42" applyNumberFormat="1" applyFont="1" applyBorder="1" applyAlignment="1">
      <alignment/>
    </xf>
    <xf numFmtId="10" fontId="92" fillId="16" borderId="75" xfId="42" applyNumberFormat="1" applyFont="1" applyFill="1" applyBorder="1" applyAlignment="1">
      <alignment/>
    </xf>
    <xf numFmtId="3" fontId="92" fillId="16" borderId="33" xfId="42" applyNumberFormat="1" applyFont="1" applyFill="1" applyBorder="1" applyAlignment="1">
      <alignment/>
    </xf>
    <xf numFmtId="3" fontId="92" fillId="0" borderId="15" xfId="42" applyNumberFormat="1" applyFont="1" applyBorder="1" applyAlignment="1">
      <alignment/>
    </xf>
    <xf numFmtId="186" fontId="95" fillId="16" borderId="15" xfId="42" applyNumberFormat="1" applyFont="1" applyFill="1" applyBorder="1" applyAlignment="1">
      <alignment/>
    </xf>
    <xf numFmtId="0" fontId="95" fillId="0" borderId="15" xfId="0" applyFont="1" applyBorder="1" applyAlignment="1">
      <alignment horizontal="center"/>
    </xf>
    <xf numFmtId="186" fontId="95" fillId="0" borderId="21" xfId="42" applyNumberFormat="1" applyFont="1" applyBorder="1" applyAlignment="1">
      <alignment/>
    </xf>
    <xf numFmtId="3" fontId="95" fillId="0" borderId="21" xfId="42" applyNumberFormat="1" applyFont="1" applyBorder="1" applyAlignment="1">
      <alignment/>
    </xf>
    <xf numFmtId="3" fontId="95" fillId="16" borderId="15" xfId="42" applyNumberFormat="1" applyFont="1" applyFill="1" applyBorder="1" applyAlignment="1">
      <alignment/>
    </xf>
    <xf numFmtId="186" fontId="95" fillId="0" borderId="76" xfId="42" applyNumberFormat="1" applyFont="1" applyBorder="1" applyAlignment="1">
      <alignment/>
    </xf>
    <xf numFmtId="186" fontId="95" fillId="0" borderId="77" xfId="42" applyNumberFormat="1" applyFont="1" applyBorder="1" applyAlignment="1">
      <alignment/>
    </xf>
    <xf numFmtId="10" fontId="95" fillId="0" borderId="74" xfId="42" applyNumberFormat="1" applyFont="1" applyBorder="1" applyAlignment="1">
      <alignment/>
    </xf>
    <xf numFmtId="186" fontId="95" fillId="16" borderId="78" xfId="42" applyNumberFormat="1" applyFont="1" applyFill="1" applyBorder="1" applyAlignment="1">
      <alignment/>
    </xf>
    <xf numFmtId="10" fontId="95" fillId="16" borderId="75" xfId="42" applyNumberFormat="1" applyFont="1" applyFill="1" applyBorder="1" applyAlignment="1">
      <alignment/>
    </xf>
    <xf numFmtId="3" fontId="95" fillId="0" borderId="77" xfId="42" applyNumberFormat="1" applyFont="1" applyBorder="1" applyAlignment="1">
      <alignment/>
    </xf>
    <xf numFmtId="0" fontId="92" fillId="0" borderId="15" xfId="0" applyFont="1" applyBorder="1" applyAlignment="1">
      <alignment horizontal="center"/>
    </xf>
    <xf numFmtId="0" fontId="92" fillId="33" borderId="33" xfId="0" applyFont="1" applyFill="1" applyBorder="1" applyAlignment="1">
      <alignment horizontal="center" vertical="center"/>
    </xf>
    <xf numFmtId="0" fontId="15" fillId="0" borderId="0" xfId="0" applyFont="1" applyAlignment="1">
      <alignment/>
    </xf>
    <xf numFmtId="49" fontId="18" fillId="0" borderId="0" xfId="0" applyNumberFormat="1" applyFont="1" applyFill="1" applyBorder="1" applyAlignment="1">
      <alignment horizontal="center" vertical="center"/>
    </xf>
    <xf numFmtId="0" fontId="19" fillId="0" borderId="15" xfId="0" applyFont="1" applyBorder="1" applyAlignment="1">
      <alignment horizontal="center"/>
    </xf>
    <xf numFmtId="0" fontId="15" fillId="0" borderId="0" xfId="0" applyFont="1" applyAlignment="1">
      <alignment horizontal="center"/>
    </xf>
    <xf numFmtId="0" fontId="15" fillId="0" borderId="37" xfId="0" applyFont="1" applyBorder="1" applyAlignment="1">
      <alignment horizontal="right"/>
    </xf>
    <xf numFmtId="0" fontId="19" fillId="0" borderId="23" xfId="0" applyFont="1" applyBorder="1" applyAlignment="1">
      <alignment/>
    </xf>
    <xf numFmtId="0" fontId="19" fillId="0" borderId="33" xfId="0" applyFont="1" applyBorder="1" applyAlignment="1">
      <alignment/>
    </xf>
    <xf numFmtId="0" fontId="15" fillId="0" borderId="14" xfId="0" applyFont="1" applyFill="1" applyBorder="1" applyAlignment="1">
      <alignment horizontal="center" vertical="top"/>
    </xf>
    <xf numFmtId="0" fontId="15" fillId="0" borderId="79" xfId="60" applyFont="1" applyFill="1" applyBorder="1" applyAlignment="1">
      <alignment horizontal="left" vertical="top"/>
      <protection/>
    </xf>
    <xf numFmtId="192" fontId="20" fillId="7" borderId="80" xfId="42" applyNumberFormat="1" applyFont="1" applyFill="1" applyBorder="1" applyAlignment="1">
      <alignment horizontal="right" vertical="top"/>
    </xf>
    <xf numFmtId="192" fontId="20" fillId="0" borderId="80" xfId="42" applyNumberFormat="1" applyFont="1" applyFill="1" applyBorder="1" applyAlignment="1">
      <alignment horizontal="right" vertical="top"/>
    </xf>
    <xf numFmtId="0" fontId="15" fillId="0" borderId="81" xfId="0" applyFont="1" applyFill="1" applyBorder="1" applyAlignment="1">
      <alignment horizontal="center" vertical="top"/>
    </xf>
    <xf numFmtId="0" fontId="15" fillId="0" borderId="82" xfId="60" applyFont="1" applyFill="1" applyBorder="1" applyAlignment="1">
      <alignment horizontal="left" vertical="center"/>
      <protection/>
    </xf>
    <xf numFmtId="192" fontId="20" fillId="7" borderId="82" xfId="42" applyNumberFormat="1" applyFont="1" applyFill="1" applyBorder="1" applyAlignment="1">
      <alignment horizontal="right" vertical="center"/>
    </xf>
    <xf numFmtId="192" fontId="20" fillId="0" borderId="82" xfId="42" applyNumberFormat="1" applyFont="1" applyFill="1" applyBorder="1" applyAlignment="1">
      <alignment horizontal="right" vertical="center"/>
    </xf>
    <xf numFmtId="0" fontId="15" fillId="0" borderId="83" xfId="60" applyFont="1" applyFill="1" applyBorder="1" applyAlignment="1">
      <alignment horizontal="left" vertical="center"/>
      <protection/>
    </xf>
    <xf numFmtId="192" fontId="20" fillId="7" borderId="83" xfId="42" applyNumberFormat="1" applyFont="1" applyFill="1" applyBorder="1" applyAlignment="1">
      <alignment horizontal="right" vertical="center"/>
    </xf>
    <xf numFmtId="192" fontId="20" fillId="0" borderId="83" xfId="42" applyNumberFormat="1" applyFont="1" applyFill="1" applyBorder="1" applyAlignment="1">
      <alignment horizontal="right" vertical="center"/>
    </xf>
    <xf numFmtId="0" fontId="15" fillId="0" borderId="84" xfId="60" applyFont="1" applyFill="1" applyBorder="1" applyAlignment="1">
      <alignment horizontal="left" vertical="top"/>
      <protection/>
    </xf>
    <xf numFmtId="192" fontId="20" fillId="7" borderId="82" xfId="42" applyNumberFormat="1" applyFont="1" applyFill="1" applyBorder="1" applyAlignment="1">
      <alignment horizontal="right" vertical="top"/>
    </xf>
    <xf numFmtId="192" fontId="20" fillId="0" borderId="82" xfId="42" applyNumberFormat="1" applyFont="1" applyFill="1" applyBorder="1" applyAlignment="1">
      <alignment horizontal="right" vertical="top"/>
    </xf>
    <xf numFmtId="192" fontId="15" fillId="7" borderId="82" xfId="42" applyNumberFormat="1" applyFont="1" applyFill="1" applyBorder="1" applyAlignment="1">
      <alignment horizontal="right" vertical="top"/>
    </xf>
    <xf numFmtId="0" fontId="15" fillId="0" borderId="85" xfId="60" applyFont="1" applyFill="1" applyBorder="1" applyAlignment="1">
      <alignment horizontal="left" vertical="top"/>
      <protection/>
    </xf>
    <xf numFmtId="0" fontId="15" fillId="0" borderId="81" xfId="0" applyFont="1" applyBorder="1" applyAlignment="1">
      <alignment horizontal="center" vertical="top"/>
    </xf>
    <xf numFmtId="0" fontId="15" fillId="0" borderId="84" xfId="0" applyFont="1" applyBorder="1" applyAlignment="1">
      <alignment vertical="top"/>
    </xf>
    <xf numFmtId="192" fontId="15" fillId="7" borderId="82" xfId="42" applyNumberFormat="1" applyFont="1" applyFill="1" applyBorder="1" applyAlignment="1">
      <alignment vertical="top"/>
    </xf>
    <xf numFmtId="192" fontId="15" fillId="0" borderId="82" xfId="42" applyNumberFormat="1" applyFont="1" applyBorder="1" applyAlignment="1">
      <alignment vertical="top"/>
    </xf>
    <xf numFmtId="0" fontId="20" fillId="0" borderId="84" xfId="60" applyFont="1" applyFill="1" applyBorder="1" applyAlignment="1">
      <alignment horizontal="left" vertical="top"/>
      <protection/>
    </xf>
    <xf numFmtId="0" fontId="15" fillId="0" borderId="85" xfId="0" applyFont="1" applyBorder="1" applyAlignment="1">
      <alignment vertical="top"/>
    </xf>
    <xf numFmtId="0" fontId="15" fillId="0" borderId="81" xfId="0" applyFont="1" applyFill="1" applyBorder="1" applyAlignment="1">
      <alignment horizontal="center" vertical="center"/>
    </xf>
    <xf numFmtId="0" fontId="15" fillId="0" borderId="84" xfId="0" applyFont="1" applyFill="1" applyBorder="1" applyAlignment="1">
      <alignment vertical="center"/>
    </xf>
    <xf numFmtId="0" fontId="15" fillId="0" borderId="81" xfId="0" applyFont="1" applyBorder="1" applyAlignment="1">
      <alignment horizontal="center"/>
    </xf>
    <xf numFmtId="0" fontId="15" fillId="0" borderId="84" xfId="0" applyFont="1" applyBorder="1" applyAlignment="1">
      <alignment/>
    </xf>
    <xf numFmtId="192" fontId="15" fillId="0" borderId="82" xfId="42" applyNumberFormat="1" applyFont="1" applyBorder="1" applyAlignment="1">
      <alignment/>
    </xf>
    <xf numFmtId="0" fontId="15" fillId="0" borderId="82" xfId="0" applyFont="1" applyBorder="1" applyAlignment="1">
      <alignment/>
    </xf>
    <xf numFmtId="192" fontId="15" fillId="7" borderId="82" xfId="42" applyNumberFormat="1" applyFont="1" applyFill="1" applyBorder="1" applyAlignment="1">
      <alignment/>
    </xf>
    <xf numFmtId="0" fontId="15" fillId="0" borderId="12" xfId="0" applyFont="1" applyBorder="1" applyAlignment="1">
      <alignment horizontal="center"/>
    </xf>
    <xf numFmtId="0" fontId="15" fillId="0" borderId="83" xfId="0" applyFont="1" applyBorder="1" applyAlignment="1">
      <alignment/>
    </xf>
    <xf numFmtId="192" fontId="15" fillId="7" borderId="83" xfId="42" applyNumberFormat="1" applyFont="1" applyFill="1" applyBorder="1" applyAlignment="1">
      <alignment/>
    </xf>
    <xf numFmtId="192" fontId="15" fillId="0" borderId="83" xfId="42" applyNumberFormat="1" applyFont="1" applyBorder="1" applyAlignment="1">
      <alignment/>
    </xf>
    <xf numFmtId="0" fontId="19" fillId="0" borderId="0" xfId="0" applyFont="1" applyAlignment="1">
      <alignment/>
    </xf>
    <xf numFmtId="0" fontId="19" fillId="0" borderId="0" xfId="0" applyFont="1" applyAlignment="1">
      <alignment horizontal="center"/>
    </xf>
    <xf numFmtId="0" fontId="105" fillId="41" borderId="0" xfId="0" applyFont="1" applyFill="1" applyAlignment="1">
      <alignment/>
    </xf>
    <xf numFmtId="192" fontId="19" fillId="0" borderId="0" xfId="0" applyNumberFormat="1" applyFont="1" applyAlignment="1">
      <alignment/>
    </xf>
    <xf numFmtId="0" fontId="15" fillId="0" borderId="0" xfId="0" applyFont="1" applyFill="1" applyAlignment="1">
      <alignment/>
    </xf>
    <xf numFmtId="192" fontId="15" fillId="0" borderId="0" xfId="0" applyNumberFormat="1" applyFont="1" applyAlignment="1">
      <alignment/>
    </xf>
    <xf numFmtId="192" fontId="106" fillId="0" borderId="0" xfId="0" applyNumberFormat="1" applyFont="1" applyAlignment="1">
      <alignment/>
    </xf>
    <xf numFmtId="192" fontId="15" fillId="0" borderId="83" xfId="42" applyNumberFormat="1" applyFont="1" applyFill="1" applyBorder="1" applyAlignment="1">
      <alignment horizontal="right" vertical="center"/>
    </xf>
    <xf numFmtId="10" fontId="95" fillId="0" borderId="86" xfId="42" applyNumberFormat="1" applyFont="1" applyBorder="1" applyAlignment="1">
      <alignment/>
    </xf>
    <xf numFmtId="10" fontId="95" fillId="0" borderId="21" xfId="42" applyNumberFormat="1" applyFont="1" applyBorder="1" applyAlignment="1">
      <alignment/>
    </xf>
    <xf numFmtId="186" fontId="92" fillId="0" borderId="10" xfId="42" applyNumberFormat="1" applyFont="1" applyBorder="1" applyAlignment="1">
      <alignment/>
    </xf>
    <xf numFmtId="186" fontId="92" fillId="0" borderId="15" xfId="42" applyNumberFormat="1" applyFont="1" applyBorder="1" applyAlignment="1">
      <alignment/>
    </xf>
    <xf numFmtId="0" fontId="92" fillId="0" borderId="33" xfId="0" applyFont="1" applyBorder="1" applyAlignment="1">
      <alignment horizontal="center"/>
    </xf>
    <xf numFmtId="0" fontId="15" fillId="0" borderId="0" xfId="0" applyFont="1" applyAlignment="1">
      <alignment horizontal="left"/>
    </xf>
    <xf numFmtId="192" fontId="107" fillId="0" borderId="83" xfId="42" applyNumberFormat="1" applyFont="1" applyFill="1" applyBorder="1" applyAlignment="1">
      <alignment horizontal="right" vertical="center"/>
    </xf>
    <xf numFmtId="0" fontId="15" fillId="0" borderId="87" xfId="0" applyFont="1" applyFill="1" applyBorder="1" applyAlignment="1">
      <alignment horizontal="center" vertical="top"/>
    </xf>
    <xf numFmtId="0" fontId="20" fillId="0" borderId="82" xfId="60" applyFont="1" applyFill="1" applyBorder="1" applyAlignment="1">
      <alignment horizontal="left" vertical="top"/>
      <protection/>
    </xf>
    <xf numFmtId="192" fontId="15" fillId="0" borderId="82" xfId="42" applyNumberFormat="1" applyFont="1" applyFill="1" applyBorder="1" applyAlignment="1">
      <alignment horizontal="right" vertical="top"/>
    </xf>
    <xf numFmtId="0" fontId="15" fillId="0" borderId="87" xfId="0" applyFont="1" applyBorder="1" applyAlignment="1">
      <alignment horizontal="center"/>
    </xf>
    <xf numFmtId="0" fontId="15" fillId="0" borderId="88" xfId="0" applyFont="1" applyBorder="1" applyAlignment="1">
      <alignment/>
    </xf>
    <xf numFmtId="192" fontId="15" fillId="0" borderId="88" xfId="42" applyNumberFormat="1" applyFont="1" applyBorder="1" applyAlignment="1">
      <alignment/>
    </xf>
    <xf numFmtId="0" fontId="15" fillId="0" borderId="82" xfId="0" applyFont="1" applyFill="1" applyBorder="1" applyAlignment="1">
      <alignment/>
    </xf>
    <xf numFmtId="0" fontId="15" fillId="0" borderId="80" xfId="60" applyFont="1" applyFill="1" applyBorder="1" applyAlignment="1">
      <alignment horizontal="left" vertical="top"/>
      <protection/>
    </xf>
    <xf numFmtId="0" fontId="15" fillId="0" borderId="82" xfId="60" applyFont="1" applyFill="1" applyBorder="1" applyAlignment="1">
      <alignment horizontal="left" vertical="top"/>
      <protection/>
    </xf>
    <xf numFmtId="0" fontId="15" fillId="0" borderId="82" xfId="0" applyFont="1" applyBorder="1" applyAlignment="1">
      <alignment vertical="top"/>
    </xf>
    <xf numFmtId="0" fontId="19" fillId="0" borderId="14" xfId="0" applyFont="1" applyBorder="1" applyAlignment="1">
      <alignment horizontal="center"/>
    </xf>
    <xf numFmtId="3" fontId="97" fillId="0" borderId="24" xfId="0" applyNumberFormat="1" applyFont="1" applyFill="1" applyBorder="1" applyAlignment="1">
      <alignment horizontal="center" vertical="center" wrapText="1"/>
    </xf>
    <xf numFmtId="3" fontId="97" fillId="0" borderId="25" xfId="0" applyNumberFormat="1" applyFont="1" applyFill="1" applyBorder="1" applyAlignment="1">
      <alignment horizontal="center" vertical="center" wrapText="1"/>
    </xf>
    <xf numFmtId="3" fontId="96" fillId="0" borderId="40" xfId="0" applyNumberFormat="1" applyFont="1" applyFill="1" applyBorder="1" applyAlignment="1">
      <alignment horizontal="center" vertical="center" wrapText="1"/>
    </xf>
    <xf numFmtId="3" fontId="96" fillId="42" borderId="23" xfId="0" applyNumberFormat="1" applyFont="1" applyFill="1" applyBorder="1" applyAlignment="1">
      <alignment horizontal="center" vertical="center" wrapText="1"/>
    </xf>
    <xf numFmtId="3" fontId="96" fillId="42" borderId="50" xfId="0" applyNumberFormat="1" applyFont="1" applyFill="1" applyBorder="1" applyAlignment="1">
      <alignment horizontal="center" vertical="center" wrapText="1"/>
    </xf>
    <xf numFmtId="0" fontId="0" fillId="42" borderId="0" xfId="0" applyFill="1" applyAlignment="1">
      <alignment/>
    </xf>
    <xf numFmtId="0" fontId="21" fillId="0" borderId="80" xfId="0" applyFont="1" applyBorder="1" applyAlignment="1">
      <alignment/>
    </xf>
    <xf numFmtId="192" fontId="0" fillId="0" borderId="80" xfId="42" applyNumberFormat="1" applyFont="1" applyBorder="1" applyAlignment="1">
      <alignment/>
    </xf>
    <xf numFmtId="9" fontId="0" fillId="0" borderId="80" xfId="63" applyFont="1" applyBorder="1" applyAlignment="1">
      <alignment/>
    </xf>
    <xf numFmtId="0" fontId="21" fillId="0" borderId="82" xfId="0" applyFont="1" applyBorder="1" applyAlignment="1">
      <alignment/>
    </xf>
    <xf numFmtId="192" fontId="0" fillId="0" borderId="82" xfId="42" applyNumberFormat="1" applyFont="1" applyBorder="1" applyAlignment="1">
      <alignment/>
    </xf>
    <xf numFmtId="9" fontId="0" fillId="0" borderId="82" xfId="63" applyFont="1" applyBorder="1" applyAlignment="1">
      <alignment/>
    </xf>
    <xf numFmtId="0" fontId="21" fillId="0" borderId="88" xfId="0" applyFont="1" applyBorder="1" applyAlignment="1">
      <alignment/>
    </xf>
    <xf numFmtId="192" fontId="0" fillId="0" borderId="88" xfId="42" applyNumberFormat="1" applyFont="1" applyBorder="1" applyAlignment="1">
      <alignment/>
    </xf>
    <xf numFmtId="9" fontId="0" fillId="0" borderId="88" xfId="63" applyFont="1" applyBorder="1" applyAlignment="1">
      <alignment/>
    </xf>
    <xf numFmtId="0" fontId="22" fillId="0" borderId="15" xfId="0" applyFont="1" applyBorder="1" applyAlignment="1">
      <alignment/>
    </xf>
    <xf numFmtId="192" fontId="22" fillId="0" borderId="15" xfId="0" applyNumberFormat="1" applyFont="1" applyBorder="1" applyAlignment="1">
      <alignment/>
    </xf>
    <xf numFmtId="9" fontId="22" fillId="0" borderId="15" xfId="0" applyNumberFormat="1" applyFont="1" applyBorder="1" applyAlignment="1">
      <alignment/>
    </xf>
    <xf numFmtId="0" fontId="21" fillId="0" borderId="0" xfId="0" applyFont="1" applyAlignment="1">
      <alignment/>
    </xf>
    <xf numFmtId="9" fontId="0" fillId="0" borderId="0" xfId="63" applyFont="1" applyAlignment="1">
      <alignment/>
    </xf>
    <xf numFmtId="43" fontId="21" fillId="0" borderId="0" xfId="0" applyNumberFormat="1" applyFont="1" applyAlignment="1">
      <alignment/>
    </xf>
    <xf numFmtId="192" fontId="0" fillId="0" borderId="0" xfId="42" applyNumberFormat="1" applyFont="1" applyAlignment="1">
      <alignment/>
    </xf>
    <xf numFmtId="0" fontId="9" fillId="43" borderId="15" xfId="0" applyFont="1" applyFill="1" applyBorder="1" applyAlignment="1">
      <alignment horizontal="center" vertical="center" wrapText="1"/>
    </xf>
    <xf numFmtId="192" fontId="9" fillId="43" borderId="15" xfId="42"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locked="0"/>
    </xf>
    <xf numFmtId="192" fontId="10" fillId="0" borderId="15" xfId="42" applyNumberFormat="1" applyFont="1" applyBorder="1" applyAlignment="1" applyProtection="1">
      <alignment horizontal="right" vertical="center" wrapText="1"/>
      <protection locked="0"/>
    </xf>
    <xf numFmtId="192" fontId="10" fillId="0" borderId="15" xfId="42" applyNumberFormat="1" applyFont="1" applyBorder="1" applyAlignment="1" applyProtection="1">
      <alignment horizontal="right" vertical="center" wrapText="1"/>
      <protection/>
    </xf>
    <xf numFmtId="192" fontId="23" fillId="0" borderId="15" xfId="42" applyNumberFormat="1" applyFont="1" applyBorder="1" applyAlignment="1" applyProtection="1">
      <alignment horizontal="right" vertical="center" wrapText="1"/>
      <protection locked="0"/>
    </xf>
    <xf numFmtId="0" fontId="10" fillId="0" borderId="15" xfId="0" applyFont="1" applyFill="1" applyBorder="1" applyAlignment="1" applyProtection="1">
      <alignment horizontal="center" vertical="center" wrapText="1"/>
      <protection locked="0"/>
    </xf>
    <xf numFmtId="192" fontId="10" fillId="0" borderId="15" xfId="42" applyNumberFormat="1" applyFont="1" applyFill="1" applyBorder="1" applyAlignment="1" applyProtection="1">
      <alignment horizontal="right" vertical="center" wrapText="1"/>
      <protection locked="0"/>
    </xf>
    <xf numFmtId="192" fontId="10" fillId="0" borderId="15" xfId="42" applyNumberFormat="1" applyFont="1" applyFill="1" applyBorder="1" applyAlignment="1" applyProtection="1">
      <alignment horizontal="right" vertical="center" wrapText="1"/>
      <protection/>
    </xf>
    <xf numFmtId="0" fontId="23" fillId="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pplyProtection="1">
      <alignment horizontal="left" vertical="center" wrapText="1"/>
      <protection locked="0"/>
    </xf>
    <xf numFmtId="0" fontId="23" fillId="0" borderId="15" xfId="0" applyFont="1" applyBorder="1" applyAlignment="1" applyProtection="1">
      <alignment horizontal="center" vertical="center" wrapText="1"/>
      <protection locked="0"/>
    </xf>
    <xf numFmtId="192" fontId="23" fillId="0" borderId="15" xfId="42" applyNumberFormat="1" applyFont="1" applyBorder="1" applyAlignment="1" applyProtection="1">
      <alignment horizontal="right" vertical="center" wrapText="1"/>
      <protection/>
    </xf>
    <xf numFmtId="0" fontId="23" fillId="0" borderId="15" xfId="0" applyFont="1" applyFill="1" applyBorder="1" applyAlignment="1" applyProtection="1">
      <alignment horizontal="center" vertical="center" wrapText="1"/>
      <protection locked="0"/>
    </xf>
    <xf numFmtId="192" fontId="23" fillId="0" borderId="15" xfId="42" applyNumberFormat="1" applyFont="1" applyFill="1" applyBorder="1" applyAlignment="1" applyProtection="1">
      <alignment horizontal="right" vertical="center" wrapText="1"/>
      <protection locked="0"/>
    </xf>
    <xf numFmtId="192" fontId="24" fillId="43" borderId="15" xfId="42" applyNumberFormat="1" applyFont="1" applyFill="1" applyBorder="1" applyAlignment="1">
      <alignment horizontal="center" vertical="center" wrapText="1"/>
    </xf>
    <xf numFmtId="192" fontId="108" fillId="0" borderId="15" xfId="42" applyNumberFormat="1" applyFont="1" applyFill="1" applyBorder="1" applyAlignment="1">
      <alignment horizontal="right" vertical="center" wrapText="1"/>
    </xf>
    <xf numFmtId="0" fontId="10" fillId="0" borderId="0" xfId="0" applyFont="1" applyAlignment="1">
      <alignment wrapText="1"/>
    </xf>
    <xf numFmtId="0" fontId="9" fillId="0" borderId="0" xfId="0" applyFont="1" applyAlignment="1">
      <alignment wrapText="1"/>
    </xf>
    <xf numFmtId="0" fontId="23" fillId="0" borderId="0" xfId="0" applyFont="1" applyAlignment="1">
      <alignment wrapText="1"/>
    </xf>
    <xf numFmtId="192" fontId="23" fillId="0" borderId="15" xfId="42" applyNumberFormat="1" applyFont="1" applyFill="1" applyBorder="1" applyAlignment="1" applyProtection="1">
      <alignment horizontal="right" vertical="center" wrapText="1"/>
      <protection/>
    </xf>
    <xf numFmtId="0" fontId="25" fillId="0" borderId="0" xfId="0" applyFont="1" applyAlignment="1">
      <alignment wrapText="1"/>
    </xf>
    <xf numFmtId="0" fontId="10" fillId="0" borderId="15" xfId="0" applyFont="1" applyFill="1" applyBorder="1" applyAlignment="1">
      <alignment horizontal="left" vertical="center" wrapText="1"/>
    </xf>
    <xf numFmtId="192" fontId="10" fillId="0" borderId="15" xfId="42" applyNumberFormat="1" applyFont="1" applyFill="1" applyBorder="1" applyAlignment="1">
      <alignment horizontal="center" vertical="center" wrapText="1"/>
    </xf>
    <xf numFmtId="192" fontId="26" fillId="0" borderId="15" xfId="42" applyNumberFormat="1" applyFont="1" applyFill="1" applyBorder="1" applyAlignment="1">
      <alignment horizontal="right" vertical="center" wrapText="1"/>
    </xf>
    <xf numFmtId="0" fontId="19" fillId="0" borderId="0" xfId="0" applyFont="1" applyAlignment="1">
      <alignment/>
    </xf>
    <xf numFmtId="0" fontId="14" fillId="0" borderId="80" xfId="60" applyFont="1" applyFill="1" applyBorder="1" applyAlignment="1">
      <alignment horizontal="left" vertical="center"/>
      <protection/>
    </xf>
    <xf numFmtId="192" fontId="15" fillId="13" borderId="80" xfId="42" applyNumberFormat="1" applyFont="1" applyFill="1" applyBorder="1" applyAlignment="1">
      <alignment horizontal="right" vertical="top"/>
    </xf>
    <xf numFmtId="0" fontId="15" fillId="0" borderId="89" xfId="0" applyFont="1" applyFill="1" applyBorder="1" applyAlignment="1">
      <alignment horizontal="left" vertical="top"/>
    </xf>
    <xf numFmtId="0" fontId="14" fillId="0" borderId="82" xfId="60" applyFont="1" applyFill="1" applyBorder="1" applyAlignment="1">
      <alignment horizontal="left" vertical="center"/>
      <protection/>
    </xf>
    <xf numFmtId="192" fontId="15" fillId="13" borderId="82" xfId="42" applyNumberFormat="1" applyFont="1" applyFill="1" applyBorder="1" applyAlignment="1">
      <alignment horizontal="right" vertical="top"/>
    </xf>
    <xf numFmtId="0" fontId="15" fillId="0" borderId="90" xfId="0" applyFont="1" applyFill="1" applyBorder="1" applyAlignment="1">
      <alignment horizontal="left" vertical="top"/>
    </xf>
    <xf numFmtId="0" fontId="14" fillId="0" borderId="83" xfId="60" applyFont="1" applyFill="1" applyBorder="1" applyAlignment="1">
      <alignment horizontal="left" vertical="center"/>
      <protection/>
    </xf>
    <xf numFmtId="192" fontId="15" fillId="13" borderId="83" xfId="42" applyNumberFormat="1" applyFont="1" applyFill="1" applyBorder="1" applyAlignment="1">
      <alignment horizontal="right" vertical="top"/>
    </xf>
    <xf numFmtId="192" fontId="20" fillId="0" borderId="83" xfId="42" applyNumberFormat="1" applyFont="1" applyFill="1" applyBorder="1" applyAlignment="1">
      <alignment horizontal="right" vertical="top"/>
    </xf>
    <xf numFmtId="0" fontId="15" fillId="0" borderId="91" xfId="0" applyFont="1" applyFill="1" applyBorder="1" applyAlignment="1">
      <alignment horizontal="left" vertical="top"/>
    </xf>
    <xf numFmtId="0" fontId="14" fillId="0" borderId="50" xfId="0" applyFont="1" applyFill="1" applyBorder="1" applyAlignment="1">
      <alignment horizontal="center" vertical="center"/>
    </xf>
    <xf numFmtId="0" fontId="27" fillId="0" borderId="80" xfId="60" applyFont="1" applyFill="1" applyBorder="1" applyAlignment="1">
      <alignment horizontal="left" vertical="center"/>
      <protection/>
    </xf>
    <xf numFmtId="0" fontId="15" fillId="0" borderId="79" xfId="0" applyFont="1" applyFill="1" applyBorder="1" applyAlignment="1">
      <alignment horizontal="left" vertical="top"/>
    </xf>
    <xf numFmtId="0" fontId="27" fillId="0" borderId="82" xfId="60" applyFont="1" applyFill="1" applyBorder="1" applyAlignment="1">
      <alignment horizontal="left" vertical="center"/>
      <protection/>
    </xf>
    <xf numFmtId="0" fontId="15" fillId="0" borderId="84" xfId="0" applyFont="1" applyFill="1" applyBorder="1" applyAlignment="1">
      <alignment horizontal="left" vertical="top"/>
    </xf>
    <xf numFmtId="192" fontId="20" fillId="0" borderId="81" xfId="42" applyNumberFormat="1" applyFont="1" applyFill="1" applyBorder="1" applyAlignment="1">
      <alignment horizontal="right" vertical="top"/>
    </xf>
    <xf numFmtId="0" fontId="14" fillId="0" borderId="37" xfId="0" applyFont="1" applyFill="1" applyBorder="1" applyAlignment="1">
      <alignment horizontal="center" vertical="center"/>
    </xf>
    <xf numFmtId="0" fontId="27" fillId="0" borderId="88" xfId="60" applyFont="1" applyFill="1" applyBorder="1" applyAlignment="1">
      <alignment horizontal="left" vertical="center"/>
      <protection/>
    </xf>
    <xf numFmtId="192" fontId="15" fillId="13" borderId="88" xfId="42" applyNumberFormat="1" applyFont="1" applyFill="1" applyBorder="1" applyAlignment="1">
      <alignment horizontal="right" vertical="top"/>
    </xf>
    <xf numFmtId="192" fontId="20" fillId="0" borderId="88" xfId="42" applyNumberFormat="1" applyFont="1" applyFill="1" applyBorder="1" applyAlignment="1">
      <alignment horizontal="right" vertical="top"/>
    </xf>
    <xf numFmtId="0" fontId="109" fillId="0" borderId="0" xfId="0" applyFont="1" applyFill="1" applyBorder="1" applyAlignment="1">
      <alignment horizontal="left" vertical="center"/>
    </xf>
    <xf numFmtId="0" fontId="14" fillId="0" borderId="23" xfId="0" applyFont="1" applyFill="1" applyBorder="1" applyAlignment="1">
      <alignment horizontal="center" vertical="center"/>
    </xf>
    <xf numFmtId="0" fontId="14" fillId="0" borderId="15" xfId="60" applyFont="1" applyFill="1" applyBorder="1" applyAlignment="1">
      <alignment horizontal="left" vertical="center"/>
      <protection/>
    </xf>
    <xf numFmtId="192" fontId="15" fillId="13" borderId="33" xfId="42" applyNumberFormat="1" applyFont="1" applyFill="1" applyBorder="1" applyAlignment="1">
      <alignment horizontal="right" vertical="top"/>
    </xf>
    <xf numFmtId="192" fontId="20" fillId="0" borderId="15" xfId="42" applyNumberFormat="1" applyFont="1" applyFill="1" applyBorder="1" applyAlignment="1">
      <alignment horizontal="right" vertical="top"/>
    </xf>
    <xf numFmtId="0" fontId="15" fillId="0" borderId="30" xfId="0" applyFont="1" applyFill="1" applyBorder="1" applyAlignment="1">
      <alignment horizontal="left" vertical="top"/>
    </xf>
    <xf numFmtId="0" fontId="15" fillId="0" borderId="0" xfId="0" applyFont="1" applyAlignment="1">
      <alignment/>
    </xf>
    <xf numFmtId="0" fontId="28" fillId="0" borderId="23" xfId="0" applyFont="1" applyFill="1" applyBorder="1" applyAlignment="1">
      <alignment horizontal="center" vertical="center"/>
    </xf>
    <xf numFmtId="0" fontId="29" fillId="0" borderId="15" xfId="60" applyFont="1" applyFill="1" applyBorder="1" applyAlignment="1">
      <alignment horizontal="left" vertical="center"/>
      <protection/>
    </xf>
    <xf numFmtId="192" fontId="19" fillId="13" borderId="15" xfId="42" applyNumberFormat="1" applyFont="1" applyFill="1" applyBorder="1" applyAlignment="1">
      <alignment horizontal="right" vertical="top"/>
    </xf>
    <xf numFmtId="192" fontId="30" fillId="0" borderId="15" xfId="42" applyNumberFormat="1" applyFont="1" applyFill="1" applyBorder="1" applyAlignment="1">
      <alignment horizontal="right" vertical="top"/>
    </xf>
    <xf numFmtId="0" fontId="14" fillId="0" borderId="30" xfId="0" applyFont="1" applyFill="1" applyBorder="1" applyAlignment="1">
      <alignment horizontal="left" vertical="center"/>
    </xf>
    <xf numFmtId="0" fontId="27" fillId="0" borderId="0" xfId="60" applyFont="1" applyFill="1" applyBorder="1" applyAlignment="1">
      <alignment horizontal="left" vertical="center"/>
      <protection/>
    </xf>
    <xf numFmtId="192" fontId="15" fillId="0" borderId="0" xfId="42" applyNumberFormat="1" applyFont="1" applyFill="1" applyBorder="1" applyAlignment="1">
      <alignment horizontal="right" vertical="top"/>
    </xf>
    <xf numFmtId="192" fontId="20" fillId="0" borderId="0" xfId="42" applyNumberFormat="1" applyFont="1" applyFill="1" applyBorder="1" applyAlignment="1">
      <alignment horizontal="right" vertical="top"/>
    </xf>
    <xf numFmtId="0" fontId="14" fillId="0" borderId="0" xfId="0" applyFont="1" applyFill="1" applyBorder="1" applyAlignment="1">
      <alignment horizontal="left" vertical="center"/>
    </xf>
    <xf numFmtId="0" fontId="15" fillId="0" borderId="14" xfId="0" applyFont="1" applyBorder="1" applyAlignment="1">
      <alignment horizontal="center"/>
    </xf>
    <xf numFmtId="0" fontId="15" fillId="0" borderId="14" xfId="0" applyFont="1" applyBorder="1" applyAlignment="1">
      <alignment horizontal="center" vertical="top"/>
    </xf>
    <xf numFmtId="0" fontId="15" fillId="0" borderId="14" xfId="0" applyFont="1" applyBorder="1" applyAlignment="1">
      <alignment vertical="top"/>
    </xf>
    <xf numFmtId="192" fontId="15" fillId="0" borderId="14" xfId="42" applyNumberFormat="1" applyFont="1" applyBorder="1" applyAlignment="1">
      <alignment vertical="top"/>
    </xf>
    <xf numFmtId="192" fontId="15" fillId="7" borderId="14" xfId="42" applyNumberFormat="1" applyFont="1" applyFill="1" applyBorder="1" applyAlignment="1">
      <alignment vertical="top"/>
    </xf>
    <xf numFmtId="0" fontId="15" fillId="0" borderId="81" xfId="0" applyFont="1" applyBorder="1" applyAlignment="1">
      <alignment vertical="top"/>
    </xf>
    <xf numFmtId="192" fontId="15" fillId="0" borderId="81" xfId="42" applyNumberFormat="1" applyFont="1" applyBorder="1" applyAlignment="1">
      <alignment vertical="top"/>
    </xf>
    <xf numFmtId="192" fontId="15" fillId="7" borderId="81" xfId="42" applyNumberFormat="1" applyFont="1" applyFill="1" applyBorder="1" applyAlignment="1">
      <alignment vertical="top"/>
    </xf>
    <xf numFmtId="0" fontId="15" fillId="0" borderId="12" xfId="0" applyFont="1" applyBorder="1" applyAlignment="1">
      <alignment horizontal="center" vertical="top"/>
    </xf>
    <xf numFmtId="0" fontId="15" fillId="0" borderId="12" xfId="0" applyFont="1" applyBorder="1" applyAlignment="1">
      <alignment vertical="top"/>
    </xf>
    <xf numFmtId="192" fontId="15" fillId="0" borderId="12" xfId="42" applyNumberFormat="1" applyFont="1" applyBorder="1" applyAlignment="1">
      <alignment vertical="top"/>
    </xf>
    <xf numFmtId="192" fontId="15" fillId="7" borderId="12" xfId="42" applyNumberFormat="1" applyFont="1" applyFill="1" applyBorder="1" applyAlignment="1">
      <alignment vertical="top"/>
    </xf>
    <xf numFmtId="0" fontId="15" fillId="0" borderId="0" xfId="0" applyFont="1" applyBorder="1" applyAlignment="1">
      <alignment horizontal="left" vertical="top" wrapText="1"/>
    </xf>
    <xf numFmtId="0" fontId="15" fillId="0" borderId="0" xfId="0" applyFont="1" applyBorder="1" applyAlignment="1">
      <alignment horizontal="center" vertical="top"/>
    </xf>
    <xf numFmtId="0" fontId="15" fillId="0" borderId="0" xfId="0" applyFont="1" applyBorder="1" applyAlignment="1">
      <alignment vertical="top"/>
    </xf>
    <xf numFmtId="192" fontId="15" fillId="0" borderId="0" xfId="42" applyNumberFormat="1" applyFont="1" applyBorder="1" applyAlignment="1">
      <alignment vertical="top"/>
    </xf>
    <xf numFmtId="192" fontId="15" fillId="7" borderId="81" xfId="42" applyNumberFormat="1" applyFont="1" applyFill="1" applyBorder="1" applyAlignment="1">
      <alignment vertical="top"/>
    </xf>
    <xf numFmtId="192" fontId="110" fillId="0" borderId="0" xfId="42" applyNumberFormat="1" applyFont="1" applyFill="1" applyBorder="1" applyAlignment="1">
      <alignment horizontal="left" vertical="top"/>
    </xf>
    <xf numFmtId="192" fontId="111" fillId="0" borderId="0" xfId="42" applyNumberFormat="1" applyFont="1" applyFill="1" applyBorder="1" applyAlignment="1">
      <alignment horizontal="left" vertical="top"/>
    </xf>
    <xf numFmtId="0" fontId="28" fillId="0" borderId="15" xfId="60" applyFont="1" applyFill="1" applyBorder="1" applyAlignment="1">
      <alignment horizontal="left" vertical="center"/>
      <protection/>
    </xf>
    <xf numFmtId="192" fontId="19" fillId="0" borderId="15" xfId="42" applyNumberFormat="1" applyFont="1" applyFill="1" applyBorder="1" applyAlignment="1">
      <alignment horizontal="right" vertical="top"/>
    </xf>
    <xf numFmtId="0" fontId="28" fillId="0" borderId="0" xfId="0" applyFont="1" applyFill="1" applyBorder="1" applyAlignment="1">
      <alignment horizontal="center" vertical="center"/>
    </xf>
    <xf numFmtId="0" fontId="29" fillId="0" borderId="0" xfId="60" applyFont="1" applyFill="1" applyBorder="1" applyAlignment="1">
      <alignment horizontal="left" vertical="center"/>
      <protection/>
    </xf>
    <xf numFmtId="192" fontId="19" fillId="0" borderId="23" xfId="42" applyNumberFormat="1" applyFont="1" applyFill="1" applyBorder="1" applyAlignment="1">
      <alignment horizontal="right" vertical="top"/>
    </xf>
    <xf numFmtId="192" fontId="30" fillId="0" borderId="23" xfId="42" applyNumberFormat="1" applyFont="1" applyFill="1" applyBorder="1" applyAlignment="1">
      <alignment horizontal="right" vertical="top"/>
    </xf>
    <xf numFmtId="192" fontId="30" fillId="0" borderId="0" xfId="42" applyNumberFormat="1" applyFont="1" applyFill="1" applyBorder="1" applyAlignment="1">
      <alignment horizontal="right" vertical="top"/>
    </xf>
    <xf numFmtId="0" fontId="112" fillId="0" borderId="0" xfId="60" applyFont="1" applyFill="1" applyBorder="1" applyAlignment="1">
      <alignment horizontal="left" vertical="center"/>
      <protection/>
    </xf>
    <xf numFmtId="0" fontId="15" fillId="0" borderId="80" xfId="0" applyFont="1" applyBorder="1" applyAlignment="1">
      <alignment/>
    </xf>
    <xf numFmtId="192" fontId="15" fillId="0" borderId="80" xfId="42" applyNumberFormat="1" applyFont="1" applyBorder="1" applyAlignment="1">
      <alignment/>
    </xf>
    <xf numFmtId="192" fontId="15" fillId="7" borderId="80" xfId="42" applyNumberFormat="1" applyFont="1" applyFill="1" applyBorder="1" applyAlignment="1">
      <alignment vertical="top"/>
    </xf>
    <xf numFmtId="0" fontId="15" fillId="0" borderId="80" xfId="0" applyFont="1" applyBorder="1" applyAlignment="1">
      <alignment horizontal="center"/>
    </xf>
    <xf numFmtId="0" fontId="15" fillId="0" borderId="82" xfId="0" applyFont="1" applyBorder="1" applyAlignment="1">
      <alignment horizontal="center"/>
    </xf>
    <xf numFmtId="192" fontId="15" fillId="7" borderId="83" xfId="42" applyNumberFormat="1" applyFont="1" applyFill="1" applyBorder="1" applyAlignment="1">
      <alignment vertical="top"/>
    </xf>
    <xf numFmtId="0" fontId="15" fillId="0" borderId="83" xfId="0" applyFont="1" applyBorder="1" applyAlignment="1">
      <alignment horizontal="center"/>
    </xf>
    <xf numFmtId="192" fontId="15" fillId="7" borderId="88" xfId="42" applyNumberFormat="1" applyFont="1" applyFill="1" applyBorder="1" applyAlignment="1">
      <alignment vertical="top"/>
    </xf>
    <xf numFmtId="0" fontId="15" fillId="0" borderId="88" xfId="0" applyFont="1" applyBorder="1" applyAlignment="1">
      <alignment horizontal="center"/>
    </xf>
    <xf numFmtId="192" fontId="107" fillId="0" borderId="0" xfId="42" applyNumberFormat="1" applyFont="1" applyBorder="1" applyAlignment="1">
      <alignment horizontal="right" vertical="top"/>
    </xf>
    <xf numFmtId="0" fontId="14" fillId="0" borderId="10" xfId="0" applyFont="1" applyFill="1" applyBorder="1" applyAlignment="1">
      <alignment horizontal="center" vertical="center"/>
    </xf>
    <xf numFmtId="0" fontId="14" fillId="0" borderId="10" xfId="60" applyFont="1" applyFill="1" applyBorder="1" applyAlignment="1">
      <alignment horizontal="left" vertical="center"/>
      <protection/>
    </xf>
    <xf numFmtId="192" fontId="15" fillId="7" borderId="80" xfId="42" applyNumberFormat="1" applyFont="1" applyFill="1" applyBorder="1" applyAlignment="1">
      <alignment horizontal="right" vertical="top"/>
    </xf>
    <xf numFmtId="192" fontId="20" fillId="0" borderId="10" xfId="42" applyNumberFormat="1" applyFont="1" applyFill="1" applyBorder="1" applyAlignment="1">
      <alignment horizontal="right" vertical="top"/>
    </xf>
    <xf numFmtId="0" fontId="14" fillId="0" borderId="11" xfId="0" applyFont="1" applyFill="1" applyBorder="1" applyAlignment="1">
      <alignment horizontal="center" vertical="center"/>
    </xf>
    <xf numFmtId="0" fontId="14" fillId="0" borderId="11" xfId="60" applyFont="1" applyFill="1" applyBorder="1" applyAlignment="1">
      <alignment horizontal="left" vertical="center"/>
      <protection/>
    </xf>
    <xf numFmtId="192" fontId="20" fillId="0" borderId="11" xfId="42" applyNumberFormat="1" applyFont="1" applyFill="1" applyBorder="1" applyAlignment="1">
      <alignment horizontal="right" vertical="top"/>
    </xf>
    <xf numFmtId="0" fontId="112" fillId="0" borderId="0" xfId="0" applyFont="1" applyFill="1" applyBorder="1" applyAlignment="1">
      <alignment horizontal="left" vertical="center"/>
    </xf>
    <xf numFmtId="192" fontId="107" fillId="0" borderId="11" xfId="42" applyNumberFormat="1" applyFont="1" applyBorder="1" applyAlignment="1">
      <alignment horizontal="right" vertical="top"/>
    </xf>
    <xf numFmtId="0" fontId="27" fillId="0" borderId="11" xfId="60" applyFont="1" applyFill="1" applyBorder="1" applyAlignment="1">
      <alignment horizontal="left" vertical="center"/>
      <protection/>
    </xf>
    <xf numFmtId="0" fontId="14" fillId="0" borderId="92" xfId="0" applyFont="1" applyFill="1" applyBorder="1" applyAlignment="1">
      <alignment horizontal="center" vertical="center"/>
    </xf>
    <xf numFmtId="0" fontId="14" fillId="0" borderId="92" xfId="60" applyFont="1" applyFill="1" applyBorder="1" applyAlignment="1">
      <alignment horizontal="left" vertical="center"/>
      <protection/>
    </xf>
    <xf numFmtId="192" fontId="20" fillId="0" borderId="92" xfId="42" applyNumberFormat="1" applyFont="1" applyFill="1" applyBorder="1" applyAlignment="1">
      <alignment horizontal="right" vertical="top"/>
    </xf>
    <xf numFmtId="192" fontId="107" fillId="0" borderId="92" xfId="42" applyNumberFormat="1" applyFont="1" applyBorder="1" applyAlignment="1">
      <alignment horizontal="right" vertical="top"/>
    </xf>
    <xf numFmtId="0" fontId="28" fillId="0" borderId="30" xfId="0" applyFont="1" applyFill="1" applyBorder="1" applyAlignment="1">
      <alignment horizontal="center" vertical="center"/>
    </xf>
    <xf numFmtId="0" fontId="29" fillId="0" borderId="23" xfId="60" applyFont="1" applyFill="1" applyBorder="1" applyAlignment="1">
      <alignment horizontal="left" vertical="center"/>
      <protection/>
    </xf>
    <xf numFmtId="0" fontId="27" fillId="0" borderId="10" xfId="60" applyFont="1" applyFill="1" applyBorder="1" applyAlignment="1">
      <alignment horizontal="left" vertical="center"/>
      <protection/>
    </xf>
    <xf numFmtId="0" fontId="14" fillId="0" borderId="93" xfId="0" applyFont="1" applyFill="1" applyBorder="1" applyAlignment="1">
      <alignment horizontal="center" vertical="center"/>
    </xf>
    <xf numFmtId="0" fontId="27" fillId="0" borderId="93" xfId="60" applyFont="1" applyFill="1" applyBorder="1" applyAlignment="1">
      <alignment horizontal="left" vertical="center"/>
      <protection/>
    </xf>
    <xf numFmtId="192" fontId="15" fillId="7" borderId="83" xfId="42" applyNumberFormat="1" applyFont="1" applyFill="1" applyBorder="1" applyAlignment="1">
      <alignment horizontal="right" vertical="top"/>
    </xf>
    <xf numFmtId="192" fontId="20" fillId="0" borderId="93" xfId="42" applyNumberFormat="1" applyFont="1" applyFill="1" applyBorder="1" applyAlignment="1">
      <alignment horizontal="right" vertical="top"/>
    </xf>
    <xf numFmtId="0" fontId="27" fillId="0" borderId="14" xfId="60" applyFont="1" applyFill="1" applyBorder="1" applyAlignment="1">
      <alignment horizontal="left" vertical="center"/>
      <protection/>
    </xf>
    <xf numFmtId="0" fontId="14" fillId="0" borderId="0" xfId="60" applyFont="1" applyFill="1" applyBorder="1" applyAlignment="1">
      <alignment horizontal="left" vertical="center"/>
      <protection/>
    </xf>
    <xf numFmtId="192" fontId="15" fillId="0" borderId="15" xfId="42" applyNumberFormat="1" applyFont="1" applyFill="1" applyBorder="1" applyAlignment="1">
      <alignment horizontal="right" vertical="top"/>
    </xf>
    <xf numFmtId="192" fontId="15" fillId="0" borderId="15" xfId="42" applyNumberFormat="1" applyFont="1" applyBorder="1" applyAlignment="1">
      <alignment horizontal="center"/>
    </xf>
    <xf numFmtId="0" fontId="15" fillId="0" borderId="15" xfId="0" applyFont="1" applyBorder="1" applyAlignment="1">
      <alignment horizontal="center"/>
    </xf>
    <xf numFmtId="0" fontId="28" fillId="0" borderId="14" xfId="0" applyFont="1" applyBorder="1" applyAlignment="1">
      <alignment horizontal="center"/>
    </xf>
    <xf numFmtId="0" fontId="28" fillId="0" borderId="0" xfId="0" applyFont="1" applyAlignment="1">
      <alignment/>
    </xf>
    <xf numFmtId="0" fontId="14" fillId="0" borderId="50" xfId="0" applyFont="1" applyFill="1" applyBorder="1" applyAlignment="1">
      <alignment horizontal="center" vertical="top"/>
    </xf>
    <xf numFmtId="0" fontId="14" fillId="0" borderId="80" xfId="60" applyFont="1" applyFill="1" applyBorder="1" applyAlignment="1">
      <alignment horizontal="left" vertical="top"/>
      <protection/>
    </xf>
    <xf numFmtId="192" fontId="14" fillId="13" borderId="80" xfId="42" applyNumberFormat="1" applyFont="1" applyFill="1" applyBorder="1" applyAlignment="1">
      <alignment horizontal="right" vertical="top"/>
    </xf>
    <xf numFmtId="192" fontId="14" fillId="0" borderId="80" xfId="42" applyNumberFormat="1" applyFont="1" applyFill="1" applyBorder="1" applyAlignment="1">
      <alignment horizontal="right" vertical="top"/>
    </xf>
    <xf numFmtId="0" fontId="14" fillId="0" borderId="79" xfId="0" applyFont="1" applyFill="1" applyBorder="1" applyAlignment="1">
      <alignment horizontal="left" vertical="top"/>
    </xf>
    <xf numFmtId="0" fontId="14" fillId="0" borderId="0" xfId="0" applyFont="1" applyFill="1" applyBorder="1" applyAlignment="1">
      <alignment horizontal="center" vertical="top"/>
    </xf>
    <xf numFmtId="0" fontId="14" fillId="0" borderId="82" xfId="60" applyFont="1" applyFill="1" applyBorder="1" applyAlignment="1">
      <alignment horizontal="left" vertical="top" wrapText="1"/>
      <protection/>
    </xf>
    <xf numFmtId="192" fontId="14" fillId="13" borderId="82" xfId="42" applyNumberFormat="1" applyFont="1" applyFill="1" applyBorder="1" applyAlignment="1">
      <alignment horizontal="right" vertical="top"/>
    </xf>
    <xf numFmtId="192" fontId="14" fillId="0" borderId="82" xfId="42" applyNumberFormat="1" applyFont="1" applyFill="1" applyBorder="1" applyAlignment="1">
      <alignment horizontal="right" vertical="top"/>
    </xf>
    <xf numFmtId="0" fontId="14" fillId="0" borderId="84" xfId="0" applyFont="1" applyFill="1" applyBorder="1" applyAlignment="1">
      <alignment horizontal="left" vertical="top"/>
    </xf>
    <xf numFmtId="0" fontId="14" fillId="0" borderId="37" xfId="0" applyFont="1" applyFill="1" applyBorder="1" applyAlignment="1">
      <alignment horizontal="center" vertical="top"/>
    </xf>
    <xf numFmtId="192" fontId="14" fillId="13" borderId="88" xfId="42" applyNumberFormat="1" applyFont="1" applyFill="1" applyBorder="1" applyAlignment="1">
      <alignment horizontal="right" vertical="top"/>
    </xf>
    <xf numFmtId="192" fontId="14" fillId="0" borderId="88" xfId="42" applyNumberFormat="1" applyFont="1" applyFill="1" applyBorder="1" applyAlignment="1">
      <alignment horizontal="right" vertical="top"/>
    </xf>
    <xf numFmtId="0" fontId="14" fillId="0" borderId="94" xfId="0" applyFont="1" applyFill="1" applyBorder="1" applyAlignment="1">
      <alignment horizontal="left" vertical="top"/>
    </xf>
    <xf numFmtId="0" fontId="14" fillId="0" borderId="0" xfId="0" applyFont="1" applyAlignment="1">
      <alignment/>
    </xf>
    <xf numFmtId="0" fontId="14" fillId="0" borderId="37" xfId="0" applyFont="1" applyBorder="1" applyAlignment="1">
      <alignment horizontal="right"/>
    </xf>
    <xf numFmtId="0" fontId="28" fillId="0" borderId="0" xfId="0" applyFont="1" applyAlignment="1">
      <alignment/>
    </xf>
    <xf numFmtId="0" fontId="27" fillId="0" borderId="80" xfId="60" applyFont="1" applyFill="1" applyBorder="1" applyAlignment="1">
      <alignment horizontal="left" vertical="top"/>
      <protection/>
    </xf>
    <xf numFmtId="192" fontId="27" fillId="0" borderId="80" xfId="42" applyNumberFormat="1" applyFont="1" applyFill="1" applyBorder="1" applyAlignment="1">
      <alignment horizontal="right" vertical="top"/>
    </xf>
    <xf numFmtId="0" fontId="14" fillId="0" borderId="0" xfId="0" applyFont="1" applyFill="1" applyBorder="1" applyAlignment="1">
      <alignment vertical="center"/>
    </xf>
    <xf numFmtId="0" fontId="27" fillId="0" borderId="82" xfId="60" applyFont="1" applyFill="1" applyBorder="1" applyAlignment="1">
      <alignment horizontal="left" vertical="top" wrapText="1"/>
      <protection/>
    </xf>
    <xf numFmtId="192" fontId="27" fillId="0" borderId="82" xfId="42" applyNumberFormat="1" applyFont="1" applyFill="1" applyBorder="1" applyAlignment="1">
      <alignment horizontal="right" vertical="top"/>
    </xf>
    <xf numFmtId="0" fontId="27" fillId="0" borderId="82" xfId="60" applyFont="1" applyFill="1" applyBorder="1" applyAlignment="1">
      <alignment horizontal="left" vertical="top"/>
      <protection/>
    </xf>
    <xf numFmtId="0" fontId="14" fillId="0" borderId="88" xfId="60" applyFont="1" applyFill="1" applyBorder="1" applyAlignment="1">
      <alignment horizontal="left" vertical="top"/>
      <protection/>
    </xf>
    <xf numFmtId="192" fontId="27" fillId="0" borderId="88" xfId="42" applyNumberFormat="1" applyFont="1" applyFill="1" applyBorder="1" applyAlignment="1">
      <alignment horizontal="right" vertical="top"/>
    </xf>
    <xf numFmtId="0" fontId="14" fillId="0" borderId="0" xfId="60" applyFont="1" applyFill="1" applyBorder="1" applyAlignment="1">
      <alignment horizontal="left" vertical="top"/>
      <protection/>
    </xf>
    <xf numFmtId="192" fontId="14" fillId="0" borderId="0" xfId="42" applyNumberFormat="1" applyFont="1" applyFill="1" applyBorder="1" applyAlignment="1">
      <alignment horizontal="right" vertical="top"/>
    </xf>
    <xf numFmtId="192" fontId="27" fillId="0" borderId="0" xfId="42" applyNumberFormat="1" applyFont="1" applyFill="1" applyBorder="1" applyAlignment="1">
      <alignment horizontal="right" vertical="top"/>
    </xf>
    <xf numFmtId="0" fontId="14" fillId="0" borderId="0" xfId="0" applyFont="1" applyFill="1" applyBorder="1" applyAlignment="1">
      <alignment horizontal="left" vertical="top"/>
    </xf>
    <xf numFmtId="0" fontId="27" fillId="0" borderId="95" xfId="60" applyFont="1" applyFill="1" applyBorder="1" applyAlignment="1">
      <alignment horizontal="left" vertical="top"/>
      <protection/>
    </xf>
    <xf numFmtId="192" fontId="14" fillId="0" borderId="95" xfId="42" applyNumberFormat="1" applyFont="1" applyFill="1" applyBorder="1" applyAlignment="1">
      <alignment horizontal="right" vertical="top"/>
    </xf>
    <xf numFmtId="192" fontId="27" fillId="0" borderId="95" xfId="42" applyNumberFormat="1" applyFont="1" applyFill="1" applyBorder="1" applyAlignment="1">
      <alignment horizontal="right" vertical="top"/>
    </xf>
    <xf numFmtId="0" fontId="14" fillId="0" borderId="0" xfId="0" applyFont="1" applyFill="1" applyBorder="1" applyAlignment="1">
      <alignment vertical="top"/>
    </xf>
    <xf numFmtId="0" fontId="14" fillId="0" borderId="0" xfId="0" applyFont="1" applyFill="1" applyBorder="1" applyAlignment="1">
      <alignment/>
    </xf>
    <xf numFmtId="0" fontId="28" fillId="0" borderId="40" xfId="0" applyFont="1" applyBorder="1" applyAlignment="1">
      <alignment/>
    </xf>
    <xf numFmtId="0" fontId="27" fillId="0" borderId="80" xfId="60" applyFont="1" applyFill="1" applyBorder="1" applyAlignment="1">
      <alignment horizontal="left" vertical="top" wrapText="1"/>
      <protection/>
    </xf>
    <xf numFmtId="0" fontId="14" fillId="0" borderId="79" xfId="0" applyFont="1" applyBorder="1" applyAlignment="1">
      <alignment vertical="top"/>
    </xf>
    <xf numFmtId="0" fontId="14" fillId="0" borderId="84" xfId="0" applyFont="1" applyBorder="1" applyAlignment="1">
      <alignment vertical="top"/>
    </xf>
    <xf numFmtId="0" fontId="14" fillId="0" borderId="88" xfId="60" applyFont="1" applyFill="1" applyBorder="1" applyAlignment="1">
      <alignment horizontal="left" vertical="top" wrapText="1"/>
      <protection/>
    </xf>
    <xf numFmtId="0" fontId="14" fillId="0" borderId="94" xfId="0" applyFont="1" applyBorder="1" applyAlignment="1">
      <alignment vertical="top"/>
    </xf>
    <xf numFmtId="0" fontId="14" fillId="0" borderId="0" xfId="60" applyFont="1" applyFill="1" applyBorder="1" applyAlignment="1">
      <alignment horizontal="left" vertical="top" wrapText="1"/>
      <protection/>
    </xf>
    <xf numFmtId="0" fontId="14" fillId="0" borderId="0" xfId="0" applyFont="1" applyBorder="1" applyAlignment="1">
      <alignment vertical="top"/>
    </xf>
    <xf numFmtId="0" fontId="14" fillId="0" borderId="50" xfId="0" applyFont="1" applyBorder="1" applyAlignment="1">
      <alignment horizontal="center"/>
    </xf>
    <xf numFmtId="0" fontId="14" fillId="0" borderId="13" xfId="0" applyFont="1" applyFill="1" applyBorder="1" applyAlignment="1">
      <alignment horizontal="center" vertical="top"/>
    </xf>
    <xf numFmtId="0" fontId="14" fillId="0" borderId="89" xfId="0" applyFont="1" applyBorder="1" applyAlignment="1">
      <alignment vertical="top"/>
    </xf>
    <xf numFmtId="0" fontId="14" fillId="0" borderId="0" xfId="0" applyFont="1" applyBorder="1" applyAlignment="1">
      <alignment horizontal="center"/>
    </xf>
    <xf numFmtId="0" fontId="14" fillId="0" borderId="87" xfId="0" applyFont="1" applyBorder="1" applyAlignment="1">
      <alignment horizontal="center"/>
    </xf>
    <xf numFmtId="0" fontId="14" fillId="0" borderId="82" xfId="0" applyFont="1" applyBorder="1" applyAlignment="1">
      <alignment/>
    </xf>
    <xf numFmtId="192" fontId="14" fillId="0" borderId="82" xfId="42" applyNumberFormat="1" applyFont="1" applyBorder="1" applyAlignment="1">
      <alignment/>
    </xf>
    <xf numFmtId="0" fontId="14" fillId="0" borderId="90" xfId="0" applyFont="1" applyBorder="1" applyAlignment="1">
      <alignment/>
    </xf>
    <xf numFmtId="0" fontId="14" fillId="0" borderId="37" xfId="0" applyFont="1" applyBorder="1" applyAlignment="1">
      <alignment horizontal="center"/>
    </xf>
    <xf numFmtId="0" fontId="14" fillId="0" borderId="96" xfId="0" applyFont="1" applyBorder="1" applyAlignment="1">
      <alignment horizontal="center"/>
    </xf>
    <xf numFmtId="0" fontId="14" fillId="0" borderId="88" xfId="0" applyFont="1" applyBorder="1" applyAlignment="1">
      <alignment/>
    </xf>
    <xf numFmtId="192" fontId="14" fillId="0" borderId="88" xfId="42" applyNumberFormat="1" applyFont="1" applyBorder="1" applyAlignment="1">
      <alignment/>
    </xf>
    <xf numFmtId="0" fontId="14" fillId="0" borderId="24" xfId="0" applyFont="1" applyFill="1" applyBorder="1" applyAlignment="1">
      <alignment horizontal="center" vertical="center"/>
    </xf>
    <xf numFmtId="0" fontId="14" fillId="0" borderId="80" xfId="0" applyFont="1" applyFill="1" applyBorder="1" applyAlignment="1">
      <alignment vertical="center"/>
    </xf>
    <xf numFmtId="192" fontId="14" fillId="13" borderId="97" xfId="42" applyNumberFormat="1" applyFont="1" applyFill="1" applyBorder="1" applyAlignment="1">
      <alignment horizontal="right" vertical="top"/>
    </xf>
    <xf numFmtId="0" fontId="14" fillId="0" borderId="82" xfId="0" applyFont="1" applyFill="1" applyBorder="1" applyAlignment="1">
      <alignment vertical="center"/>
    </xf>
    <xf numFmtId="192" fontId="14" fillId="13" borderId="98" xfId="42" applyNumberFormat="1" applyFont="1" applyFill="1" applyBorder="1" applyAlignment="1">
      <alignment horizontal="right" vertical="top"/>
    </xf>
    <xf numFmtId="0" fontId="14" fillId="0" borderId="83" xfId="0" applyFont="1" applyFill="1" applyBorder="1" applyAlignment="1">
      <alignment vertical="center"/>
    </xf>
    <xf numFmtId="192" fontId="27" fillId="0" borderId="83" xfId="42" applyNumberFormat="1" applyFont="1" applyFill="1" applyBorder="1" applyAlignment="1">
      <alignment horizontal="right" vertical="top"/>
    </xf>
    <xf numFmtId="192" fontId="14" fillId="0" borderId="83" xfId="42" applyNumberFormat="1" applyFont="1" applyBorder="1" applyAlignment="1">
      <alignment/>
    </xf>
    <xf numFmtId="0" fontId="14" fillId="0" borderId="85" xfId="0" applyFont="1" applyFill="1" applyBorder="1" applyAlignment="1">
      <alignment horizontal="left" vertical="top"/>
    </xf>
    <xf numFmtId="192" fontId="14" fillId="13" borderId="99" xfId="42" applyNumberFormat="1" applyFont="1" applyFill="1" applyBorder="1" applyAlignment="1">
      <alignment horizontal="right" vertical="top"/>
    </xf>
    <xf numFmtId="0" fontId="14" fillId="0" borderId="94" xfId="0" applyFont="1" applyBorder="1" applyAlignment="1">
      <alignment/>
    </xf>
    <xf numFmtId="192" fontId="14" fillId="0" borderId="0" xfId="0" applyNumberFormat="1" applyFont="1" applyAlignment="1">
      <alignment/>
    </xf>
    <xf numFmtId="0" fontId="28" fillId="0" borderId="14" xfId="0" applyFont="1" applyBorder="1" applyAlignment="1">
      <alignment horizontal="center" vertical="center" wrapText="1"/>
    </xf>
    <xf numFmtId="0" fontId="28" fillId="0" borderId="14" xfId="0" applyFont="1" applyBorder="1" applyAlignment="1">
      <alignment horizontal="left" vertical="center" wrapText="1"/>
    </xf>
    <xf numFmtId="0" fontId="14" fillId="0" borderId="80" xfId="0" applyFont="1" applyBorder="1" applyAlignment="1" applyProtection="1">
      <alignment horizontal="center" vertical="center"/>
      <protection locked="0"/>
    </xf>
    <xf numFmtId="0" fontId="113" fillId="0" borderId="80" xfId="0" applyFont="1" applyBorder="1" applyAlignment="1">
      <alignment/>
    </xf>
    <xf numFmtId="187" fontId="113" fillId="0" borderId="80" xfId="42" applyNumberFormat="1" applyFont="1" applyBorder="1" applyAlignment="1">
      <alignment/>
    </xf>
    <xf numFmtId="177" fontId="113" fillId="0" borderId="80" xfId="42" applyFont="1" applyBorder="1" applyAlignment="1">
      <alignment/>
    </xf>
    <xf numFmtId="0" fontId="14" fillId="0" borderId="82" xfId="0" applyFont="1" applyBorder="1" applyAlignment="1" applyProtection="1">
      <alignment horizontal="center" vertical="center"/>
      <protection locked="0"/>
    </xf>
    <xf numFmtId="0" fontId="113" fillId="0" borderId="82" xfId="0" applyFont="1" applyBorder="1" applyAlignment="1">
      <alignment/>
    </xf>
    <xf numFmtId="187" fontId="113" fillId="0" borderId="82" xfId="42" applyNumberFormat="1" applyFont="1" applyBorder="1" applyAlignment="1">
      <alignment/>
    </xf>
    <xf numFmtId="177" fontId="113" fillId="0" borderId="82" xfId="42" applyFont="1" applyBorder="1" applyAlignment="1">
      <alignment/>
    </xf>
    <xf numFmtId="0" fontId="112" fillId="0" borderId="0" xfId="0" applyFont="1" applyAlignment="1">
      <alignment/>
    </xf>
    <xf numFmtId="0" fontId="14" fillId="0" borderId="83" xfId="0" applyFont="1" applyBorder="1" applyAlignment="1" applyProtection="1">
      <alignment horizontal="center" vertical="center"/>
      <protection locked="0"/>
    </xf>
    <xf numFmtId="0" fontId="113" fillId="0" borderId="88" xfId="0" applyFont="1" applyBorder="1" applyAlignment="1">
      <alignment/>
    </xf>
    <xf numFmtId="187" fontId="113" fillId="0" borderId="88" xfId="42" applyNumberFormat="1" applyFont="1" applyBorder="1" applyAlignment="1">
      <alignment/>
    </xf>
    <xf numFmtId="177" fontId="113" fillId="0" borderId="88" xfId="42" applyFont="1" applyBorder="1" applyAlignment="1">
      <alignment/>
    </xf>
    <xf numFmtId="0" fontId="14" fillId="0" borderId="15"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locked="0"/>
    </xf>
    <xf numFmtId="0" fontId="28" fillId="0" borderId="12" xfId="0" applyFont="1" applyBorder="1" applyAlignment="1" applyProtection="1">
      <alignment vertical="center"/>
      <protection locked="0"/>
    </xf>
    <xf numFmtId="177" fontId="14" fillId="0" borderId="12" xfId="42" applyFont="1" applyBorder="1" applyAlignment="1">
      <alignment horizontal="right"/>
    </xf>
    <xf numFmtId="0" fontId="14" fillId="0" borderId="100" xfId="0" applyFont="1" applyFill="1" applyBorder="1" applyAlignment="1">
      <alignment horizontal="center"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93" xfId="0" applyFont="1" applyFill="1" applyBorder="1" applyAlignment="1">
      <alignment vertical="center"/>
    </xf>
    <xf numFmtId="192" fontId="14" fillId="13" borderId="101" xfId="42" applyNumberFormat="1" applyFont="1" applyFill="1" applyBorder="1" applyAlignment="1">
      <alignment horizontal="right" vertical="top"/>
    </xf>
    <xf numFmtId="0" fontId="14" fillId="0" borderId="13"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88" xfId="0" applyFont="1" applyFill="1" applyBorder="1" applyAlignment="1">
      <alignment vertical="center"/>
    </xf>
    <xf numFmtId="0" fontId="15" fillId="0" borderId="0" xfId="0" applyFont="1" applyFill="1" applyBorder="1" applyAlignment="1">
      <alignment horizontal="center" vertical="top"/>
    </xf>
    <xf numFmtId="192" fontId="15" fillId="0" borderId="80" xfId="42" applyNumberFormat="1" applyFont="1" applyFill="1" applyBorder="1" applyAlignment="1">
      <alignment horizontal="right" vertical="top"/>
    </xf>
    <xf numFmtId="4" fontId="15" fillId="0" borderId="83" xfId="0" applyNumberFormat="1" applyFont="1" applyBorder="1" applyAlignment="1">
      <alignment vertical="top"/>
    </xf>
    <xf numFmtId="192" fontId="15" fillId="0" borderId="83" xfId="42" applyNumberFormat="1" applyFont="1" applyFill="1" applyBorder="1" applyAlignment="1">
      <alignment horizontal="right" vertical="top"/>
    </xf>
    <xf numFmtId="0" fontId="19" fillId="0" borderId="23" xfId="0" applyFont="1" applyFill="1" applyBorder="1" applyAlignment="1">
      <alignment horizontal="center" vertical="top"/>
    </xf>
    <xf numFmtId="0" fontId="19" fillId="0" borderId="15" xfId="60" applyFont="1" applyFill="1" applyBorder="1" applyAlignment="1">
      <alignment horizontal="left" vertical="top"/>
      <protection/>
    </xf>
    <xf numFmtId="0" fontId="20" fillId="0" borderId="0" xfId="60" applyFont="1" applyFill="1" applyBorder="1" applyAlignment="1">
      <alignment horizontal="left" vertical="top"/>
      <protection/>
    </xf>
    <xf numFmtId="0" fontId="15" fillId="0" borderId="0" xfId="0" applyFont="1" applyFill="1" applyBorder="1" applyAlignment="1">
      <alignment horizontal="left" vertical="top"/>
    </xf>
    <xf numFmtId="0" fontId="20" fillId="0" borderId="95" xfId="60" applyFont="1" applyFill="1" applyBorder="1" applyAlignment="1">
      <alignment horizontal="left" vertical="top"/>
      <protection/>
    </xf>
    <xf numFmtId="192" fontId="15" fillId="0" borderId="95" xfId="42" applyNumberFormat="1" applyFont="1" applyFill="1" applyBorder="1" applyAlignment="1">
      <alignment horizontal="right" vertical="top"/>
    </xf>
    <xf numFmtId="192" fontId="20" fillId="0" borderId="95" xfId="42" applyNumberFormat="1" applyFont="1" applyFill="1" applyBorder="1" applyAlignment="1">
      <alignment horizontal="right" vertical="top"/>
    </xf>
    <xf numFmtId="0" fontId="19" fillId="0" borderId="34" xfId="0" applyFont="1" applyBorder="1" applyAlignment="1">
      <alignment/>
    </xf>
    <xf numFmtId="0" fontId="20" fillId="0" borderId="80" xfId="60" applyFont="1" applyFill="1" applyBorder="1" applyAlignment="1">
      <alignment horizontal="left" vertical="top" wrapText="1"/>
      <protection/>
    </xf>
    <xf numFmtId="0" fontId="20" fillId="0" borderId="82" xfId="60" applyFont="1" applyFill="1" applyBorder="1" applyAlignment="1">
      <alignment horizontal="left" vertical="top" wrapText="1"/>
      <protection/>
    </xf>
    <xf numFmtId="0" fontId="15" fillId="0" borderId="82" xfId="60" applyFont="1" applyFill="1" applyBorder="1" applyAlignment="1">
      <alignment horizontal="left" vertical="top" wrapText="1"/>
      <protection/>
    </xf>
    <xf numFmtId="0" fontId="15" fillId="0" borderId="83" xfId="60" applyFont="1" applyFill="1" applyBorder="1" applyAlignment="1">
      <alignment horizontal="left" vertical="top" wrapText="1"/>
      <protection/>
    </xf>
    <xf numFmtId="0" fontId="15" fillId="0" borderId="50" xfId="0" applyFont="1" applyFill="1" applyBorder="1" applyAlignment="1">
      <alignment horizontal="center" vertical="top"/>
    </xf>
    <xf numFmtId="0" fontId="20" fillId="0" borderId="50" xfId="60" applyFont="1" applyFill="1" applyBorder="1" applyAlignment="1">
      <alignment horizontal="left" vertical="top" wrapText="1"/>
      <protection/>
    </xf>
    <xf numFmtId="192" fontId="15" fillId="0" borderId="50" xfId="42" applyNumberFormat="1" applyFont="1" applyFill="1" applyBorder="1" applyAlignment="1">
      <alignment horizontal="right" vertical="top"/>
    </xf>
    <xf numFmtId="192" fontId="20" fillId="0" borderId="50" xfId="42" applyNumberFormat="1" applyFont="1" applyFill="1" applyBorder="1" applyAlignment="1">
      <alignment horizontal="right" vertical="top"/>
    </xf>
    <xf numFmtId="0" fontId="15" fillId="0" borderId="50" xfId="0" applyFont="1" applyFill="1" applyBorder="1" applyAlignment="1">
      <alignment horizontal="left" vertical="top"/>
    </xf>
    <xf numFmtId="0" fontId="15" fillId="0" borderId="37" xfId="0" applyFont="1" applyFill="1" applyBorder="1" applyAlignment="1">
      <alignment horizontal="center" vertical="top"/>
    </xf>
    <xf numFmtId="0" fontId="20" fillId="0" borderId="37" xfId="60" applyFont="1" applyFill="1" applyBorder="1" applyAlignment="1">
      <alignment horizontal="left" vertical="top" wrapText="1"/>
      <protection/>
    </xf>
    <xf numFmtId="192" fontId="15" fillId="0" borderId="37" xfId="42" applyNumberFormat="1" applyFont="1" applyFill="1" applyBorder="1" applyAlignment="1">
      <alignment horizontal="right" vertical="top"/>
    </xf>
    <xf numFmtId="192" fontId="20" fillId="0" borderId="37" xfId="42" applyNumberFormat="1" applyFont="1" applyFill="1" applyBorder="1" applyAlignment="1">
      <alignment horizontal="right" vertical="top"/>
    </xf>
    <xf numFmtId="0" fontId="15" fillId="0" borderId="37" xfId="0" applyFont="1" applyFill="1" applyBorder="1" applyAlignment="1">
      <alignment horizontal="left" vertical="top"/>
    </xf>
    <xf numFmtId="0" fontId="19" fillId="0" borderId="81" xfId="0" applyFont="1" applyBorder="1" applyAlignment="1">
      <alignment horizontal="center"/>
    </xf>
    <xf numFmtId="0" fontId="20" fillId="0" borderId="80" xfId="60" applyFont="1" applyFill="1" applyBorder="1" applyAlignment="1">
      <alignment horizontal="left" vertical="top"/>
      <protection/>
    </xf>
    <xf numFmtId="0" fontId="15" fillId="0" borderId="79" xfId="0" applyFont="1" applyFill="1" applyBorder="1" applyAlignment="1">
      <alignment horizontal="left" vertical="top" wrapText="1"/>
    </xf>
    <xf numFmtId="0" fontId="20" fillId="0" borderId="83" xfId="60" applyFont="1" applyFill="1" applyBorder="1" applyAlignment="1">
      <alignment horizontal="left" vertical="top"/>
      <protection/>
    </xf>
    <xf numFmtId="0" fontId="15" fillId="0" borderId="85" xfId="0" applyFont="1" applyFill="1" applyBorder="1" applyAlignment="1">
      <alignment horizontal="left" vertical="top"/>
    </xf>
    <xf numFmtId="0" fontId="15" fillId="0" borderId="88" xfId="60" applyFont="1" applyFill="1" applyBorder="1" applyAlignment="1">
      <alignment horizontal="left" vertical="top"/>
      <protection/>
    </xf>
    <xf numFmtId="0" fontId="114" fillId="0" borderId="94" xfId="0" applyFont="1" applyFill="1" applyBorder="1" applyAlignment="1">
      <alignment horizontal="left" vertical="top"/>
    </xf>
    <xf numFmtId="0" fontId="19" fillId="0" borderId="50" xfId="0" applyFont="1" applyBorder="1" applyAlignment="1">
      <alignment/>
    </xf>
    <xf numFmtId="0" fontId="15" fillId="0" borderId="0" xfId="0" applyFont="1" applyBorder="1" applyAlignment="1">
      <alignment horizontal="center"/>
    </xf>
    <xf numFmtId="192" fontId="15" fillId="13" borderId="14" xfId="42" applyNumberFormat="1" applyFont="1" applyFill="1" applyBorder="1" applyAlignment="1">
      <alignment horizontal="right" vertical="top"/>
    </xf>
    <xf numFmtId="0" fontId="15" fillId="0" borderId="79" xfId="0" applyFont="1" applyBorder="1" applyAlignment="1">
      <alignment/>
    </xf>
    <xf numFmtId="0" fontId="15" fillId="0" borderId="37" xfId="0" applyFont="1" applyBorder="1" applyAlignment="1">
      <alignment horizontal="center"/>
    </xf>
    <xf numFmtId="0" fontId="15" fillId="0" borderId="96" xfId="0" applyFont="1" applyBorder="1" applyAlignment="1">
      <alignment horizontal="center"/>
    </xf>
    <xf numFmtId="0" fontId="15" fillId="0" borderId="94" xfId="0" applyFont="1" applyBorder="1" applyAlignment="1">
      <alignment/>
    </xf>
    <xf numFmtId="0" fontId="15" fillId="0" borderId="0" xfId="0" applyFont="1" applyBorder="1" applyAlignment="1">
      <alignment/>
    </xf>
    <xf numFmtId="0" fontId="28" fillId="0" borderId="15" xfId="0" applyFont="1" applyBorder="1" applyAlignment="1">
      <alignment horizontal="center"/>
    </xf>
    <xf numFmtId="0" fontId="28" fillId="0" borderId="33" xfId="0" applyFont="1" applyFill="1" applyBorder="1" applyAlignment="1">
      <alignment horizontal="center" vertical="center"/>
    </xf>
    <xf numFmtId="0" fontId="28" fillId="0" borderId="14" xfId="60" applyFont="1" applyFill="1" applyBorder="1" applyAlignment="1">
      <alignment horizontal="left" vertical="center"/>
      <protection/>
    </xf>
    <xf numFmtId="192" fontId="28" fillId="13" borderId="14" xfId="42" applyNumberFormat="1" applyFont="1" applyFill="1" applyBorder="1" applyAlignment="1">
      <alignment horizontal="right" vertical="center"/>
    </xf>
    <xf numFmtId="192" fontId="28" fillId="0" borderId="14" xfId="42" applyNumberFormat="1" applyFont="1" applyFill="1" applyBorder="1" applyAlignment="1">
      <alignment horizontal="right" vertical="center"/>
    </xf>
    <xf numFmtId="192" fontId="28" fillId="0" borderId="34" xfId="42" applyNumberFormat="1" applyFont="1" applyFill="1" applyBorder="1" applyAlignment="1">
      <alignment horizontal="right" vertical="center"/>
    </xf>
    <xf numFmtId="0" fontId="14" fillId="0" borderId="84" xfId="0" applyFont="1" applyFill="1" applyBorder="1" applyAlignment="1">
      <alignment horizontal="left" vertical="center"/>
    </xf>
    <xf numFmtId="0" fontId="27" fillId="0" borderId="50" xfId="60" applyFont="1" applyFill="1" applyBorder="1" applyAlignment="1">
      <alignment horizontal="left" vertical="center"/>
      <protection/>
    </xf>
    <xf numFmtId="192" fontId="27" fillId="0" borderId="50" xfId="42" applyNumberFormat="1" applyFont="1" applyFill="1" applyBorder="1" applyAlignment="1">
      <alignment horizontal="right" vertical="center"/>
    </xf>
    <xf numFmtId="0" fontId="112" fillId="0" borderId="0" xfId="0" applyFont="1" applyFill="1" applyBorder="1" applyAlignment="1">
      <alignment horizontal="center" vertical="center"/>
    </xf>
    <xf numFmtId="192" fontId="27" fillId="0" borderId="0" xfId="42" applyNumberFormat="1" applyFont="1" applyFill="1" applyBorder="1" applyAlignment="1">
      <alignment horizontal="right" vertical="center"/>
    </xf>
    <xf numFmtId="192" fontId="27" fillId="7" borderId="83" xfId="42" applyNumberFormat="1" applyFont="1" applyFill="1" applyBorder="1" applyAlignment="1">
      <alignment horizontal="right" vertical="center"/>
    </xf>
    <xf numFmtId="192" fontId="27" fillId="0" borderId="83" xfId="42" applyNumberFormat="1" applyFont="1" applyFill="1" applyBorder="1" applyAlignment="1">
      <alignment horizontal="right" vertical="center"/>
    </xf>
    <xf numFmtId="192" fontId="27" fillId="0" borderId="85" xfId="42" applyNumberFormat="1" applyFont="1" applyFill="1" applyBorder="1" applyAlignment="1">
      <alignment horizontal="right" vertical="center"/>
    </xf>
    <xf numFmtId="0" fontId="115" fillId="0" borderId="84" xfId="0" applyFont="1" applyFill="1" applyBorder="1" applyAlignment="1">
      <alignment horizontal="left" vertical="center"/>
    </xf>
    <xf numFmtId="0" fontId="109" fillId="0" borderId="84" xfId="0" applyFont="1" applyFill="1" applyBorder="1" applyAlignment="1">
      <alignment horizontal="left" vertical="center"/>
    </xf>
    <xf numFmtId="192" fontId="14" fillId="7" borderId="82" xfId="42" applyNumberFormat="1" applyFont="1" applyFill="1" applyBorder="1" applyAlignment="1">
      <alignment horizontal="right" vertical="center"/>
    </xf>
    <xf numFmtId="192" fontId="14" fillId="0" borderId="82" xfId="42" applyNumberFormat="1" applyFont="1" applyFill="1" applyBorder="1" applyAlignment="1">
      <alignment horizontal="right" vertical="center"/>
    </xf>
    <xf numFmtId="0" fontId="14" fillId="0" borderId="90" xfId="0" applyFont="1" applyFill="1" applyBorder="1" applyAlignment="1">
      <alignment horizontal="left" vertical="center"/>
    </xf>
    <xf numFmtId="0" fontId="14" fillId="0" borderId="88" xfId="60" applyFont="1" applyFill="1" applyBorder="1" applyAlignment="1">
      <alignment horizontal="left" vertical="center"/>
      <protection/>
    </xf>
    <xf numFmtId="192" fontId="28" fillId="13" borderId="15" xfId="42" applyNumberFormat="1" applyFont="1" applyFill="1" applyBorder="1" applyAlignment="1">
      <alignment horizontal="right" vertical="center"/>
    </xf>
    <xf numFmtId="192" fontId="28" fillId="0" borderId="15" xfId="42" applyNumberFormat="1" applyFont="1" applyFill="1" applyBorder="1" applyAlignment="1">
      <alignment horizontal="right" vertical="center"/>
    </xf>
    <xf numFmtId="0" fontId="28" fillId="0" borderId="30" xfId="0" applyFont="1" applyFill="1" applyBorder="1" applyAlignment="1">
      <alignment horizontal="left" vertical="center"/>
    </xf>
    <xf numFmtId="0" fontId="28" fillId="0" borderId="0" xfId="60" applyFont="1" applyFill="1" applyBorder="1" applyAlignment="1">
      <alignment horizontal="left" vertical="center"/>
      <protection/>
    </xf>
    <xf numFmtId="192" fontId="28" fillId="0" borderId="0" xfId="42" applyNumberFormat="1" applyFont="1" applyFill="1" applyBorder="1" applyAlignment="1">
      <alignment horizontal="right" vertical="center"/>
    </xf>
    <xf numFmtId="0" fontId="28" fillId="0" borderId="0" xfId="0" applyFont="1" applyFill="1" applyBorder="1" applyAlignment="1">
      <alignment horizontal="left" vertical="center"/>
    </xf>
    <xf numFmtId="192" fontId="27" fillId="13" borderId="80" xfId="42" applyNumberFormat="1" applyFont="1" applyFill="1" applyBorder="1" applyAlignment="1">
      <alignment horizontal="right" vertical="center"/>
    </xf>
    <xf numFmtId="192" fontId="27" fillId="0" borderId="80" xfId="42" applyNumberFormat="1" applyFont="1" applyFill="1" applyBorder="1" applyAlignment="1">
      <alignment horizontal="right" vertical="center"/>
    </xf>
    <xf numFmtId="0" fontId="14" fillId="0" borderId="102" xfId="0" applyFont="1" applyFill="1" applyBorder="1" applyAlignment="1">
      <alignment horizontal="left" vertical="center"/>
    </xf>
    <xf numFmtId="0" fontId="14" fillId="0" borderId="103" xfId="60" applyFont="1" applyFill="1" applyBorder="1" applyAlignment="1">
      <alignment horizontal="left" vertical="center"/>
      <protection/>
    </xf>
    <xf numFmtId="192" fontId="27" fillId="13" borderId="82" xfId="42" applyNumberFormat="1" applyFont="1" applyFill="1" applyBorder="1" applyAlignment="1">
      <alignment horizontal="right" vertical="center"/>
    </xf>
    <xf numFmtId="192" fontId="27" fillId="0" borderId="103" xfId="42" applyNumberFormat="1" applyFont="1" applyFill="1" applyBorder="1" applyAlignment="1">
      <alignment horizontal="right" vertical="center"/>
    </xf>
    <xf numFmtId="192" fontId="27" fillId="0" borderId="82" xfId="42" applyNumberFormat="1" applyFont="1" applyFill="1" applyBorder="1" applyAlignment="1">
      <alignment horizontal="right" vertical="center"/>
    </xf>
    <xf numFmtId="192" fontId="27" fillId="13" borderId="88" xfId="42" applyNumberFormat="1" applyFont="1" applyFill="1" applyBorder="1" applyAlignment="1">
      <alignment horizontal="right" vertical="center"/>
    </xf>
    <xf numFmtId="192" fontId="27" fillId="0" borderId="88" xfId="42" applyNumberFormat="1" applyFont="1" applyFill="1" applyBorder="1" applyAlignment="1">
      <alignment horizontal="right" vertical="center"/>
    </xf>
    <xf numFmtId="0" fontId="14" fillId="0" borderId="0" xfId="0" applyFont="1" applyAlignment="1">
      <alignment horizontal="right"/>
    </xf>
    <xf numFmtId="0" fontId="14" fillId="0" borderId="34" xfId="0" applyFont="1" applyFill="1" applyBorder="1" applyAlignment="1">
      <alignment horizontal="center" vertical="center"/>
    </xf>
    <xf numFmtId="192" fontId="14" fillId="13" borderId="80" xfId="42" applyNumberFormat="1" applyFont="1" applyFill="1" applyBorder="1" applyAlignment="1">
      <alignment horizontal="right" vertical="center"/>
    </xf>
    <xf numFmtId="192" fontId="14" fillId="0" borderId="80" xfId="42" applyNumberFormat="1" applyFont="1" applyFill="1" applyBorder="1" applyAlignment="1">
      <alignment horizontal="right" vertical="center"/>
    </xf>
    <xf numFmtId="0" fontId="14" fillId="0" borderId="89" xfId="0" applyFont="1" applyFill="1" applyBorder="1" applyAlignment="1">
      <alignment horizontal="left" vertical="center"/>
    </xf>
    <xf numFmtId="0" fontId="14" fillId="0" borderId="102" xfId="0" applyFont="1" applyFill="1" applyBorder="1" applyAlignment="1">
      <alignment horizontal="center" vertical="center"/>
    </xf>
    <xf numFmtId="192" fontId="14" fillId="13" borderId="82" xfId="42" applyNumberFormat="1" applyFont="1" applyFill="1" applyBorder="1" applyAlignment="1">
      <alignment horizontal="right" vertical="center"/>
    </xf>
    <xf numFmtId="3" fontId="14" fillId="0" borderId="0" xfId="0" applyNumberFormat="1" applyFont="1" applyFill="1" applyBorder="1" applyAlignment="1">
      <alignment horizontal="center" vertical="center" wrapText="1"/>
    </xf>
    <xf numFmtId="192" fontId="14" fillId="13" borderId="83" xfId="42" applyNumberFormat="1" applyFont="1" applyFill="1" applyBorder="1" applyAlignment="1">
      <alignment horizontal="right" vertical="center"/>
    </xf>
    <xf numFmtId="192" fontId="14" fillId="0" borderId="83" xfId="42" applyNumberFormat="1" applyFont="1" applyFill="1" applyBorder="1" applyAlignment="1">
      <alignment horizontal="right" vertical="center"/>
    </xf>
    <xf numFmtId="0" fontId="14" fillId="0" borderId="91" xfId="0" applyFont="1" applyFill="1" applyBorder="1" applyAlignment="1">
      <alignment horizontal="left" vertical="center"/>
    </xf>
    <xf numFmtId="0" fontId="14" fillId="0" borderId="40" xfId="0" applyFont="1" applyFill="1" applyBorder="1" applyAlignment="1">
      <alignment horizontal="center" vertical="center"/>
    </xf>
    <xf numFmtId="192" fontId="14" fillId="13" borderId="88" xfId="42" applyNumberFormat="1" applyFont="1" applyFill="1" applyBorder="1" applyAlignment="1">
      <alignment horizontal="right" vertical="center"/>
    </xf>
    <xf numFmtId="192" fontId="14" fillId="0" borderId="88" xfId="42" applyNumberFormat="1" applyFont="1" applyFill="1" applyBorder="1" applyAlignment="1">
      <alignment horizontal="right" vertical="center"/>
    </xf>
    <xf numFmtId="0" fontId="14" fillId="0" borderId="94" xfId="0" applyFont="1" applyFill="1" applyBorder="1" applyAlignment="1">
      <alignment horizontal="left" vertical="center"/>
    </xf>
    <xf numFmtId="0" fontId="28" fillId="0" borderId="33" xfId="0" applyFont="1" applyBorder="1" applyAlignment="1">
      <alignment/>
    </xf>
    <xf numFmtId="192" fontId="28" fillId="13" borderId="15" xfId="0" applyNumberFormat="1" applyFont="1" applyFill="1" applyBorder="1" applyAlignment="1">
      <alignment/>
    </xf>
    <xf numFmtId="192" fontId="28" fillId="0" borderId="15" xfId="0" applyNumberFormat="1" applyFont="1" applyFill="1" applyBorder="1" applyAlignment="1">
      <alignment/>
    </xf>
    <xf numFmtId="0" fontId="28" fillId="0" borderId="30" xfId="0" applyFont="1" applyBorder="1" applyAlignment="1">
      <alignment/>
    </xf>
    <xf numFmtId="0" fontId="28" fillId="0" borderId="0" xfId="0" applyFont="1" applyBorder="1" applyAlignment="1">
      <alignment/>
    </xf>
    <xf numFmtId="192" fontId="28" fillId="0" borderId="0" xfId="0" applyNumberFormat="1" applyFont="1" applyFill="1" applyBorder="1" applyAlignment="1">
      <alignment/>
    </xf>
    <xf numFmtId="192" fontId="27" fillId="7" borderId="82" xfId="42" applyNumberFormat="1" applyFont="1" applyFill="1" applyBorder="1" applyAlignment="1">
      <alignment horizontal="right" vertical="center"/>
    </xf>
    <xf numFmtId="0" fontId="109" fillId="0" borderId="90" xfId="0" applyFont="1" applyFill="1" applyBorder="1" applyAlignment="1">
      <alignment horizontal="left" vertical="center"/>
    </xf>
    <xf numFmtId="0" fontId="112" fillId="0" borderId="90" xfId="0" applyFont="1" applyFill="1" applyBorder="1" applyAlignment="1">
      <alignment horizontal="left" vertical="center"/>
    </xf>
    <xf numFmtId="192" fontId="14" fillId="7" borderId="83" xfId="42" applyNumberFormat="1" applyFont="1" applyFill="1" applyBorder="1" applyAlignment="1">
      <alignment horizontal="right" vertical="center"/>
    </xf>
    <xf numFmtId="177" fontId="14" fillId="0" borderId="50" xfId="42" applyFont="1" applyFill="1" applyBorder="1" applyAlignment="1">
      <alignment horizontal="center" vertical="center"/>
    </xf>
    <xf numFmtId="177" fontId="14" fillId="0" borderId="50" xfId="42" applyFont="1" applyFill="1" applyBorder="1" applyAlignment="1">
      <alignment horizontal="left" vertical="center"/>
    </xf>
    <xf numFmtId="177" fontId="27" fillId="0" borderId="50" xfId="42" applyFont="1" applyFill="1" applyBorder="1" applyAlignment="1">
      <alignment horizontal="right" vertical="center"/>
    </xf>
    <xf numFmtId="192" fontId="27" fillId="7" borderId="88" xfId="42" applyNumberFormat="1" applyFont="1" applyFill="1" applyBorder="1" applyAlignment="1">
      <alignment horizontal="right" vertical="center"/>
    </xf>
    <xf numFmtId="0" fontId="28" fillId="0" borderId="0" xfId="0" applyFont="1" applyFill="1" applyBorder="1" applyAlignment="1">
      <alignment/>
    </xf>
    <xf numFmtId="0" fontId="115" fillId="0" borderId="0" xfId="60" applyFont="1" applyFill="1" applyBorder="1" applyAlignment="1">
      <alignment horizontal="left" vertical="center"/>
      <protection/>
    </xf>
    <xf numFmtId="192" fontId="28" fillId="0" borderId="15" xfId="0" applyNumberFormat="1" applyFont="1" applyBorder="1" applyAlignment="1">
      <alignment/>
    </xf>
    <xf numFmtId="192" fontId="28" fillId="0" borderId="0" xfId="0" applyNumberFormat="1" applyFont="1" applyBorder="1" applyAlignment="1">
      <alignment/>
    </xf>
    <xf numFmtId="192" fontId="27" fillId="7" borderId="0" xfId="42" applyNumberFormat="1" applyFont="1" applyFill="1" applyBorder="1" applyAlignment="1">
      <alignment horizontal="right" vertical="center"/>
    </xf>
    <xf numFmtId="3" fontId="14" fillId="0" borderId="0" xfId="0" applyNumberFormat="1" applyFont="1" applyFill="1" applyAlignment="1">
      <alignment horizontal="center" vertical="center" wrapText="1"/>
    </xf>
    <xf numFmtId="9" fontId="14" fillId="0" borderId="90" xfId="0" applyNumberFormat="1" applyFont="1" applyFill="1" applyBorder="1" applyAlignment="1">
      <alignment horizontal="left" vertical="center"/>
    </xf>
    <xf numFmtId="0" fontId="14" fillId="0" borderId="90" xfId="0" applyFont="1" applyFill="1" applyBorder="1" applyAlignment="1">
      <alignment vertical="center"/>
    </xf>
    <xf numFmtId="0" fontId="112" fillId="0" borderId="90" xfId="0" applyFont="1" applyFill="1" applyBorder="1" applyAlignment="1">
      <alignment vertical="center"/>
    </xf>
    <xf numFmtId="0" fontId="109" fillId="0" borderId="90" xfId="0" applyFont="1" applyFill="1" applyBorder="1" applyAlignment="1">
      <alignment vertical="center"/>
    </xf>
    <xf numFmtId="0" fontId="15" fillId="0" borderId="84" xfId="0" applyFont="1" applyFill="1" applyBorder="1" applyAlignment="1">
      <alignment vertical="top"/>
    </xf>
    <xf numFmtId="192" fontId="15" fillId="0" borderId="82" xfId="42" applyNumberFormat="1" applyFont="1" applyFill="1" applyBorder="1" applyAlignment="1">
      <alignment/>
    </xf>
    <xf numFmtId="192" fontId="15" fillId="0" borderId="82" xfId="42" applyNumberFormat="1" applyFont="1" applyFill="1" applyBorder="1" applyAlignment="1">
      <alignment vertical="top"/>
    </xf>
    <xf numFmtId="192" fontId="15" fillId="0" borderId="83" xfId="42" applyNumberFormat="1" applyFont="1" applyFill="1" applyBorder="1" applyAlignment="1">
      <alignment/>
    </xf>
    <xf numFmtId="0" fontId="92" fillId="16" borderId="30" xfId="0" applyFont="1" applyFill="1" applyBorder="1" applyAlignment="1">
      <alignment vertical="center"/>
    </xf>
    <xf numFmtId="0" fontId="92" fillId="16" borderId="23" xfId="0" applyFont="1" applyFill="1" applyBorder="1" applyAlignment="1">
      <alignment vertical="center"/>
    </xf>
    <xf numFmtId="0" fontId="92" fillId="16" borderId="33" xfId="0" applyFont="1" applyFill="1" applyBorder="1" applyAlignment="1">
      <alignment vertical="center"/>
    </xf>
    <xf numFmtId="0" fontId="92" fillId="33" borderId="15" xfId="0" applyFont="1" applyFill="1" applyBorder="1" applyAlignment="1">
      <alignment horizontal="center" vertical="center"/>
    </xf>
    <xf numFmtId="0" fontId="92" fillId="33" borderId="33" xfId="0" applyFont="1" applyFill="1" applyBorder="1" applyAlignment="1">
      <alignment horizontal="center" vertical="center"/>
    </xf>
    <xf numFmtId="0" fontId="92" fillId="33" borderId="30" xfId="0" applyFont="1" applyFill="1" applyBorder="1" applyAlignment="1">
      <alignment horizontal="center"/>
    </xf>
    <xf numFmtId="0" fontId="92" fillId="33" borderId="33" xfId="0" applyFont="1" applyFill="1" applyBorder="1" applyAlignment="1">
      <alignment horizontal="center"/>
    </xf>
    <xf numFmtId="15" fontId="92" fillId="0" borderId="30" xfId="0" applyNumberFormat="1" applyFont="1" applyBorder="1" applyAlignment="1">
      <alignment horizontal="center"/>
    </xf>
    <xf numFmtId="15" fontId="92" fillId="0" borderId="33" xfId="0" applyNumberFormat="1" applyFont="1" applyBorder="1" applyAlignment="1">
      <alignment horizontal="center"/>
    </xf>
    <xf numFmtId="0" fontId="92" fillId="0" borderId="30" xfId="0" applyFont="1" applyFill="1" applyBorder="1" applyAlignment="1">
      <alignment vertical="top" wrapText="1"/>
    </xf>
    <xf numFmtId="0" fontId="92" fillId="0" borderId="33" xfId="0" applyFont="1" applyFill="1" applyBorder="1" applyAlignment="1">
      <alignment vertical="top" wrapText="1"/>
    </xf>
    <xf numFmtId="0" fontId="92" fillId="0" borderId="104" xfId="0" applyFont="1" applyBorder="1" applyAlignment="1">
      <alignment/>
    </xf>
    <xf numFmtId="0" fontId="92" fillId="0" borderId="95" xfId="0" applyFont="1" applyBorder="1" applyAlignment="1">
      <alignment/>
    </xf>
    <xf numFmtId="0" fontId="92" fillId="0" borderId="105" xfId="0" applyFont="1" applyBorder="1" applyAlignment="1">
      <alignment/>
    </xf>
    <xf numFmtId="0" fontId="92" fillId="16" borderId="30" xfId="0" applyFont="1" applyFill="1" applyBorder="1" applyAlignment="1">
      <alignment horizontal="right"/>
    </xf>
    <xf numFmtId="0" fontId="92" fillId="16" borderId="23" xfId="0" applyFont="1" applyFill="1" applyBorder="1" applyAlignment="1">
      <alignment horizontal="right"/>
    </xf>
    <xf numFmtId="0" fontId="92" fillId="16" borderId="33" xfId="0" applyFont="1" applyFill="1" applyBorder="1" applyAlignment="1">
      <alignment horizontal="right"/>
    </xf>
    <xf numFmtId="0" fontId="5" fillId="0" borderId="30" xfId="0" applyFont="1" applyFill="1" applyBorder="1" applyAlignment="1">
      <alignment vertical="top" wrapText="1"/>
    </xf>
    <xf numFmtId="0" fontId="5" fillId="0" borderId="33" xfId="0" applyFont="1" applyFill="1" applyBorder="1" applyAlignment="1">
      <alignment vertical="top" wrapText="1"/>
    </xf>
    <xf numFmtId="0" fontId="92" fillId="0" borderId="34" xfId="0" applyFont="1" applyBorder="1" applyAlignment="1">
      <alignment horizontal="center" vertical="center"/>
    </xf>
    <xf numFmtId="0" fontId="92" fillId="0" borderId="13" xfId="0" applyFont="1" applyBorder="1" applyAlignment="1">
      <alignment horizontal="center" vertical="center"/>
    </xf>
    <xf numFmtId="0" fontId="92" fillId="0" borderId="40" xfId="0" applyFont="1" applyBorder="1" applyAlignment="1">
      <alignment horizontal="center" vertical="center"/>
    </xf>
    <xf numFmtId="0" fontId="92" fillId="0" borderId="96" xfId="0" applyFont="1" applyBorder="1" applyAlignment="1">
      <alignment horizontal="center" vertical="center"/>
    </xf>
    <xf numFmtId="0" fontId="92" fillId="0" borderId="106" xfId="0" applyFont="1" applyBorder="1" applyAlignment="1">
      <alignment/>
    </xf>
    <xf numFmtId="0" fontId="92" fillId="0" borderId="107" xfId="0" applyFont="1" applyBorder="1" applyAlignment="1">
      <alignment/>
    </xf>
    <xf numFmtId="0" fontId="92" fillId="0" borderId="108" xfId="0" applyFont="1" applyBorder="1" applyAlignment="1">
      <alignment/>
    </xf>
    <xf numFmtId="0" fontId="92" fillId="0" borderId="109" xfId="0" applyFont="1" applyBorder="1" applyAlignment="1">
      <alignment/>
    </xf>
    <xf numFmtId="0" fontId="92" fillId="0" borderId="15" xfId="0" applyFont="1" applyBorder="1" applyAlignment="1">
      <alignment horizontal="center" vertical="center"/>
    </xf>
    <xf numFmtId="0" fontId="92" fillId="33" borderId="41" xfId="0" applyFont="1" applyFill="1" applyBorder="1" applyAlignment="1">
      <alignment horizontal="center" vertical="center"/>
    </xf>
    <xf numFmtId="0" fontId="92" fillId="33" borderId="23" xfId="0" applyFont="1" applyFill="1" applyBorder="1" applyAlignment="1">
      <alignment horizontal="center" vertical="center"/>
    </xf>
    <xf numFmtId="0" fontId="92" fillId="0" borderId="110" xfId="0" applyFont="1" applyBorder="1" applyAlignment="1">
      <alignment/>
    </xf>
    <xf numFmtId="0" fontId="92" fillId="0" borderId="111" xfId="0" applyFont="1" applyBorder="1" applyAlignment="1">
      <alignment/>
    </xf>
    <xf numFmtId="0" fontId="92" fillId="0" borderId="112" xfId="0" applyFont="1" applyBorder="1" applyAlignment="1">
      <alignment/>
    </xf>
    <xf numFmtId="0" fontId="92" fillId="0" borderId="113" xfId="0" applyFont="1" applyBorder="1" applyAlignment="1">
      <alignment/>
    </xf>
    <xf numFmtId="0" fontId="92" fillId="0" borderId="114" xfId="0" applyFont="1" applyBorder="1" applyAlignment="1">
      <alignment/>
    </xf>
    <xf numFmtId="0" fontId="92" fillId="33" borderId="51" xfId="0" applyFont="1" applyFill="1" applyBorder="1" applyAlignment="1">
      <alignment horizontal="center" vertical="center" wrapText="1"/>
    </xf>
    <xf numFmtId="0" fontId="92" fillId="33" borderId="48" xfId="0" applyFont="1" applyFill="1" applyBorder="1" applyAlignment="1">
      <alignment horizontal="center" vertical="center" wrapText="1"/>
    </xf>
    <xf numFmtId="0" fontId="92" fillId="33" borderId="115" xfId="0" applyFont="1" applyFill="1" applyBorder="1" applyAlignment="1">
      <alignment horizontal="center" vertical="center" wrapText="1"/>
    </xf>
    <xf numFmtId="0" fontId="92" fillId="33" borderId="116" xfId="0" applyFont="1" applyFill="1" applyBorder="1" applyAlignment="1">
      <alignment horizontal="center" vertical="center" wrapText="1"/>
    </xf>
    <xf numFmtId="0" fontId="92" fillId="33" borderId="117" xfId="0" applyFont="1" applyFill="1" applyBorder="1" applyAlignment="1">
      <alignment horizontal="center" vertical="center" wrapText="1"/>
    </xf>
    <xf numFmtId="0" fontId="92" fillId="0" borderId="50" xfId="0" applyFont="1" applyBorder="1" applyAlignment="1">
      <alignment horizontal="center"/>
    </xf>
    <xf numFmtId="0" fontId="92" fillId="33" borderId="47" xfId="0" applyFont="1" applyFill="1" applyBorder="1" applyAlignment="1">
      <alignment horizontal="center" vertical="center" wrapText="1"/>
    </xf>
    <xf numFmtId="0" fontId="92" fillId="0" borderId="15" xfId="0" applyFont="1" applyBorder="1" applyAlignment="1">
      <alignment horizontal="center"/>
    </xf>
    <xf numFmtId="0" fontId="92" fillId="33" borderId="34" xfId="0" applyFont="1" applyFill="1" applyBorder="1" applyAlignment="1">
      <alignment horizontal="center" vertical="center" wrapText="1"/>
    </xf>
    <xf numFmtId="0" fontId="92" fillId="33" borderId="40" xfId="0" applyFont="1" applyFill="1" applyBorder="1" applyAlignment="1">
      <alignment horizontal="center" vertical="center" wrapText="1"/>
    </xf>
    <xf numFmtId="0" fontId="116" fillId="0" borderId="0" xfId="0" applyFont="1" applyAlignment="1">
      <alignment horizontal="center"/>
    </xf>
    <xf numFmtId="0" fontId="92" fillId="0" borderId="30" xfId="0" applyFont="1" applyFill="1" applyBorder="1" applyAlignment="1">
      <alignment horizontal="left" vertical="top" wrapText="1"/>
    </xf>
    <xf numFmtId="0" fontId="92" fillId="0" borderId="33" xfId="0" applyFont="1" applyFill="1" applyBorder="1" applyAlignment="1">
      <alignment horizontal="left" vertical="top" wrapText="1"/>
    </xf>
    <xf numFmtId="0" fontId="93" fillId="33" borderId="21" xfId="0" applyFont="1" applyFill="1" applyBorder="1" applyAlignment="1">
      <alignment/>
    </xf>
    <xf numFmtId="0" fontId="93" fillId="33" borderId="118" xfId="0" applyFont="1" applyFill="1" applyBorder="1" applyAlignment="1">
      <alignment/>
    </xf>
    <xf numFmtId="0" fontId="93" fillId="33" borderId="119" xfId="0" applyFont="1" applyFill="1" applyBorder="1" applyAlignment="1">
      <alignment/>
    </xf>
    <xf numFmtId="0" fontId="93" fillId="33" borderId="114" xfId="0" applyFont="1" applyFill="1" applyBorder="1" applyAlignment="1">
      <alignment/>
    </xf>
    <xf numFmtId="0" fontId="92" fillId="33" borderId="15" xfId="0" applyFont="1" applyFill="1" applyBorder="1" applyAlignment="1">
      <alignment/>
    </xf>
    <xf numFmtId="0" fontId="92" fillId="33" borderId="14" xfId="0" applyFont="1" applyFill="1" applyBorder="1" applyAlignment="1">
      <alignment horizontal="center" vertical="center" wrapText="1"/>
    </xf>
    <xf numFmtId="0" fontId="92" fillId="33" borderId="12" xfId="0" applyFont="1" applyFill="1" applyBorder="1" applyAlignment="1">
      <alignment horizontal="center" vertical="center" wrapText="1"/>
    </xf>
    <xf numFmtId="0" fontId="93" fillId="33" borderId="119" xfId="0" applyFont="1" applyFill="1" applyBorder="1" applyAlignment="1">
      <alignment horizontal="left"/>
    </xf>
    <xf numFmtId="0" fontId="93" fillId="33" borderId="114" xfId="0" applyFont="1" applyFill="1" applyBorder="1" applyAlignment="1">
      <alignment horizontal="left"/>
    </xf>
    <xf numFmtId="49" fontId="5" fillId="0" borderId="30" xfId="0" applyNumberFormat="1" applyFont="1" applyFill="1" applyBorder="1" applyAlignment="1">
      <alignment horizontal="left" vertical="top" wrapText="1"/>
    </xf>
    <xf numFmtId="49" fontId="5" fillId="0" borderId="33" xfId="0" applyNumberFormat="1" applyFont="1" applyFill="1" applyBorder="1" applyAlignment="1">
      <alignment horizontal="left" vertical="top" wrapText="1"/>
    </xf>
    <xf numFmtId="0" fontId="93" fillId="33" borderId="40" xfId="0" applyFont="1" applyFill="1" applyBorder="1" applyAlignment="1">
      <alignment/>
    </xf>
    <xf numFmtId="0" fontId="93" fillId="33" borderId="96" xfId="0" applyFont="1" applyFill="1" applyBorder="1" applyAlignment="1">
      <alignment/>
    </xf>
    <xf numFmtId="49" fontId="16" fillId="0" borderId="0" xfId="0" applyNumberFormat="1" applyFont="1" applyFill="1" applyBorder="1" applyAlignment="1">
      <alignment horizontal="center" vertical="center"/>
    </xf>
    <xf numFmtId="49" fontId="117" fillId="41"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19" fillId="0" borderId="15"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28" fillId="0" borderId="30" xfId="0" applyFont="1" applyBorder="1" applyAlignment="1">
      <alignment horizontal="center"/>
    </xf>
    <xf numFmtId="0" fontId="28" fillId="0" borderId="23" xfId="0" applyFont="1" applyBorder="1" applyAlignment="1">
      <alignment horizontal="center"/>
    </xf>
    <xf numFmtId="0" fontId="28" fillId="0" borderId="33"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3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3" xfId="0" applyFont="1" applyFill="1" applyBorder="1" applyAlignment="1">
      <alignment horizontal="center" vertical="center"/>
    </xf>
    <xf numFmtId="0" fontId="19" fillId="0" borderId="40" xfId="0" applyFont="1" applyBorder="1" applyAlignment="1">
      <alignment horizontal="center"/>
    </xf>
    <xf numFmtId="0" fontId="19" fillId="0" borderId="37" xfId="0" applyFont="1" applyBorder="1" applyAlignment="1">
      <alignment horizontal="center"/>
    </xf>
    <xf numFmtId="0" fontId="19" fillId="0" borderId="87" xfId="0" applyFont="1" applyBorder="1" applyAlignment="1">
      <alignment horizontal="center"/>
    </xf>
    <xf numFmtId="0" fontId="19" fillId="0" borderId="30" xfId="0" applyFont="1" applyBorder="1" applyAlignment="1">
      <alignment horizontal="center"/>
    </xf>
    <xf numFmtId="0" fontId="19" fillId="0" borderId="23" xfId="0" applyFont="1" applyBorder="1" applyAlignment="1">
      <alignment horizontal="center"/>
    </xf>
    <xf numFmtId="0" fontId="28" fillId="0" borderId="34" xfId="0" applyFont="1" applyBorder="1" applyAlignment="1">
      <alignment horizontal="center"/>
    </xf>
    <xf numFmtId="0" fontId="28" fillId="0" borderId="50" xfId="0" applyFont="1" applyBorder="1" applyAlignment="1">
      <alignment horizontal="center"/>
    </xf>
    <xf numFmtId="0" fontId="14" fillId="0" borderId="120" xfId="0" applyFont="1" applyFill="1" applyBorder="1" applyAlignment="1">
      <alignment horizontal="left" vertical="top" wrapText="1"/>
    </xf>
    <xf numFmtId="0" fontId="14" fillId="0" borderId="121"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18" xfId="0" applyFont="1" applyFill="1" applyBorder="1" applyAlignment="1">
      <alignment horizontal="left" vertical="top" wrapText="1"/>
    </xf>
    <xf numFmtId="0" fontId="15" fillId="0" borderId="34" xfId="0" applyFont="1" applyBorder="1" applyAlignment="1">
      <alignment horizontal="left" vertical="top" wrapText="1"/>
    </xf>
    <xf numFmtId="0" fontId="15" fillId="0" borderId="13" xfId="0" applyFont="1" applyBorder="1" applyAlignment="1">
      <alignment horizontal="left" vertical="top" wrapText="1"/>
    </xf>
    <xf numFmtId="0" fontId="15" fillId="0" borderId="102" xfId="0" applyFont="1" applyBorder="1" applyAlignment="1">
      <alignment horizontal="left" vertical="top" wrapText="1"/>
    </xf>
    <xf numFmtId="0" fontId="15" fillId="0" borderId="87" xfId="0" applyFont="1" applyBorder="1" applyAlignment="1">
      <alignment horizontal="left" vertical="top" wrapText="1"/>
    </xf>
    <xf numFmtId="0" fontId="15" fillId="0" borderId="40" xfId="0" applyFont="1" applyBorder="1" applyAlignment="1">
      <alignment horizontal="left" vertical="top" wrapText="1"/>
    </xf>
    <xf numFmtId="0" fontId="15" fillId="0" borderId="96" xfId="0" applyFont="1" applyBorder="1" applyAlignment="1">
      <alignment horizontal="left" vertical="top" wrapText="1"/>
    </xf>
    <xf numFmtId="0" fontId="15" fillId="0" borderId="14" xfId="0" applyFont="1" applyBorder="1" applyAlignment="1">
      <alignment horizontal="center" vertical="top"/>
    </xf>
    <xf numFmtId="0" fontId="15" fillId="0" borderId="81" xfId="0" applyFont="1" applyBorder="1" applyAlignment="1">
      <alignment horizontal="center" vertical="top"/>
    </xf>
    <xf numFmtId="0" fontId="15" fillId="0" borderId="12" xfId="0" applyFont="1" applyBorder="1" applyAlignment="1">
      <alignment horizontal="center" vertical="top"/>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92" xfId="0" applyFont="1" applyFill="1" applyBorder="1" applyAlignment="1">
      <alignment horizontal="left" vertical="top" wrapText="1"/>
    </xf>
    <xf numFmtId="0" fontId="15" fillId="0" borderId="14" xfId="0" applyFont="1" applyBorder="1" applyAlignment="1">
      <alignment horizontal="left" vertical="top"/>
    </xf>
    <xf numFmtId="0" fontId="15" fillId="0" borderId="12" xfId="0" applyFont="1" applyBorder="1" applyAlignment="1">
      <alignment horizontal="left" vertical="top"/>
    </xf>
    <xf numFmtId="0" fontId="15" fillId="0" borderId="14" xfId="0" applyFont="1" applyBorder="1" applyAlignment="1">
      <alignment horizontal="left" vertical="top" wrapText="1"/>
    </xf>
    <xf numFmtId="0" fontId="15" fillId="0" borderId="81" xfId="0" applyFont="1" applyBorder="1" applyAlignment="1">
      <alignment horizontal="left" vertical="top" wrapText="1"/>
    </xf>
    <xf numFmtId="0" fontId="15" fillId="0" borderId="12" xfId="0" applyFont="1" applyBorder="1" applyAlignment="1">
      <alignment horizontal="left" vertical="top" wrapText="1"/>
    </xf>
    <xf numFmtId="0" fontId="15" fillId="0" borderId="81" xfId="0" applyFont="1" applyBorder="1" applyAlignment="1">
      <alignment horizontal="left" vertical="top"/>
    </xf>
    <xf numFmtId="0" fontId="24" fillId="43" borderId="15" xfId="0" applyFont="1" applyFill="1" applyBorder="1" applyAlignment="1">
      <alignment horizontal="center" vertical="center" wrapText="1"/>
    </xf>
    <xf numFmtId="0" fontId="118" fillId="0" borderId="0" xfId="0" applyFont="1" applyAlignment="1">
      <alignment horizontal="center"/>
    </xf>
    <xf numFmtId="0" fontId="22" fillId="0" borderId="0" xfId="0" applyFont="1" applyAlignment="1">
      <alignment horizontal="center"/>
    </xf>
    <xf numFmtId="3" fontId="97" fillId="6" borderId="122" xfId="0" applyNumberFormat="1" applyFont="1" applyFill="1" applyBorder="1" applyAlignment="1">
      <alignment horizontal="center" vertical="center" wrapText="1"/>
    </xf>
    <xf numFmtId="3" fontId="97" fillId="6" borderId="72" xfId="0" applyNumberFormat="1" applyFont="1" applyFill="1" applyBorder="1" applyAlignment="1">
      <alignment horizontal="center" vertical="center" wrapText="1"/>
    </xf>
    <xf numFmtId="0" fontId="97" fillId="44" borderId="52" xfId="0" applyFont="1" applyFill="1" applyBorder="1" applyAlignment="1">
      <alignment horizontal="center" vertical="center" wrapText="1"/>
    </xf>
    <xf numFmtId="0" fontId="97" fillId="44" borderId="38" xfId="0" applyFont="1" applyFill="1" applyBorder="1" applyAlignment="1">
      <alignment horizontal="center" vertical="center" wrapText="1"/>
    </xf>
    <xf numFmtId="3" fontId="96" fillId="0" borderId="0" xfId="0" applyNumberFormat="1" applyFont="1" applyAlignment="1">
      <alignment horizontal="center" vertical="center" wrapText="1"/>
    </xf>
    <xf numFmtId="3" fontId="96" fillId="0" borderId="52" xfId="0" applyNumberFormat="1" applyFont="1" applyBorder="1" applyAlignment="1">
      <alignment horizontal="center" vertical="center" wrapText="1"/>
    </xf>
    <xf numFmtId="3" fontId="96" fillId="0" borderId="123" xfId="0" applyNumberFormat="1" applyFont="1" applyBorder="1" applyAlignment="1">
      <alignment horizontal="center" vertical="center" wrapText="1"/>
    </xf>
    <xf numFmtId="3" fontId="97" fillId="6" borderId="27" xfId="0" applyNumberFormat="1" applyFont="1" applyFill="1" applyBorder="1" applyAlignment="1">
      <alignment horizontal="center" vertical="center" wrapText="1"/>
    </xf>
    <xf numFmtId="3" fontId="97" fillId="6" borderId="28" xfId="0" applyNumberFormat="1" applyFont="1" applyFill="1" applyBorder="1" applyAlignment="1">
      <alignment horizontal="center" vertical="center" wrapText="1"/>
    </xf>
    <xf numFmtId="0" fontId="101" fillId="36" borderId="124" xfId="0" applyFont="1" applyFill="1" applyBorder="1" applyAlignment="1">
      <alignment horizontal="center" vertical="center"/>
    </xf>
    <xf numFmtId="0" fontId="0" fillId="36" borderId="125" xfId="0"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2" xfId="56"/>
    <cellStyle name="Neutral" xfId="57"/>
    <cellStyle name="Normal 3" xfId="58"/>
    <cellStyle name="Normal 4" xfId="59"/>
    <cellStyle name="Normal_Feuil1" xfId="60"/>
    <cellStyle name="Note" xfId="61"/>
    <cellStyle name="Output" xfId="62"/>
    <cellStyle name="Percent" xfId="63"/>
    <cellStyle name="Title" xfId="64"/>
    <cellStyle name="Total" xfId="65"/>
    <cellStyle name="Warning Text" xfId="66"/>
  </cellStyles>
  <dxfs count="12">
    <dxf>
      <font>
        <b/>
      </font>
      <border/>
    </dxf>
    <dxf>
      <numFmt numFmtId="4" formatCode="#,##0.00"/>
      <border/>
    </dxf>
    <dxf>
      <fill>
        <patternFill patternType="solid">
          <bgColor rgb="FFC0C0C0"/>
        </patternFill>
      </fill>
      <border/>
    </dxf>
    <dxf>
      <font>
        <b/>
      </font>
      <fill>
        <patternFill patternType="solid">
          <fgColor indexed="65"/>
          <bgColor rgb="FFC0C0C0"/>
        </patternFill>
      </fill>
      <border/>
    </dxf>
    <dxf>
      <numFmt numFmtId="3" formatCode="#,##0"/>
      <border/>
    </dxf>
    <dxf>
      <fill>
        <patternFill patternType="solid">
          <bgColor rgb="FFCCCCFF"/>
        </patternFill>
      </fill>
      <border/>
    </dxf>
    <dxf>
      <fill>
        <patternFill>
          <bgColor rgb="FFC0C0C0"/>
        </patternFill>
      </fill>
      <border/>
    </dxf>
    <dxf>
      <fill>
        <patternFill patternType="solid">
          <bgColor rgb="FF969696"/>
        </patternFill>
      </fill>
      <border/>
    </dxf>
    <dxf>
      <alignment horizontal="center" readingOrder="0"/>
      <border/>
    </dxf>
    <dxf>
      <alignment horizontal="right" readingOrder="0"/>
      <border/>
    </dxf>
    <dxf>
      <font>
        <color rgb="FFFFFFFF"/>
      </font>
      <border/>
    </dxf>
    <dxf>
      <fill>
        <patternFill patternType="solid">
          <fgColor indexed="65"/>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pivotCacheDefinition" Target="pivotCache/pivotCacheDefinition2.xml" /><Relationship Id="rId28" Type="http://schemas.openxmlformats.org/officeDocument/2006/relationships/pivotCacheDefinition" Target="pivotCache/pivotCacheDefinition1.xml" /><Relationship Id="rId29" Type="http://schemas.openxmlformats.org/officeDocument/2006/relationships/pivotCacheDefinition" Target="pivotCache/pivotCacheDefinition3.xml" /><Relationship Id="rId30" Type="http://schemas.openxmlformats.org/officeDocument/2006/relationships/pivotCacheDefinition" Target="pivotCache/pivotCacheDefinition5.xml" /><Relationship Id="rId31" Type="http://schemas.openxmlformats.org/officeDocument/2006/relationships/pivotCacheDefinition" Target="pivotCache/pivotCacheDefinition4.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smorey\Documents\Geneva%20Global\TGF%20Reference%20docs\Budget%20and%20Assumptions%20WVSOMTB.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TGenie\AppData\Local\Microsoft\Windows\Temporary%20Internet%20Files\Content.Outlook\EQS4E1U8\150325%20EF1ANG-YR4%20Budget%20draft%20V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F%20Budget%20Proposal%20YR3-4\150420%20EF1ANG-YR3%20Budget%20draft%20V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guageLables-Column Headers"/>
      <sheetName val="LanguageLables-DropDowns"/>
      <sheetName val="Definitions"/>
      <sheetName val="Title sheet"/>
      <sheetName val="General instructions"/>
      <sheetName val="General assumptions"/>
      <sheetName val="Detailed assumptions"/>
      <sheetName val="Detailed budget- Year 1"/>
      <sheetName val="Detailed budget- Year 2"/>
      <sheetName val="Detailed budget- Year 3"/>
      <sheetName val="Detailed budget-Year 4 and 5"/>
      <sheetName val="5 Year Budget"/>
      <sheetName val="Summary"/>
      <sheetName val="Quarterly budget–Year 1, 2 &amp; 3"/>
      <sheetName val="Assumptions 1"/>
      <sheetName val="Assumptions 2"/>
      <sheetName val="Assumptions 3"/>
    </sheetNames>
    <sheetDataSet>
      <sheetData sheetId="2">
        <row r="3">
          <cell r="G3" t="str">
            <v>Human Resources</v>
          </cell>
          <cell r="I3" t="str">
            <v>FBO</v>
          </cell>
        </row>
        <row r="4">
          <cell r="G4" t="str">
            <v>Technical &amp; Management Assistance</v>
          </cell>
          <cell r="I4" t="str">
            <v>NGO/CBO/Academic</v>
          </cell>
        </row>
        <row r="5">
          <cell r="G5" t="str">
            <v>Training</v>
          </cell>
          <cell r="I5" t="str">
            <v>Private Sector</v>
          </cell>
        </row>
        <row r="6">
          <cell r="G6" t="str">
            <v>Health Products and Health Equipment</v>
          </cell>
          <cell r="I6" t="str">
            <v>MoH</v>
          </cell>
        </row>
        <row r="7">
          <cell r="G7" t="str">
            <v>Pharmaceutical Products (Medicines)</v>
          </cell>
          <cell r="I7" t="str">
            <v>Other Government</v>
          </cell>
        </row>
        <row r="8">
          <cell r="G8" t="str">
            <v>Procurement and Supply Management Costs (PSM)</v>
          </cell>
          <cell r="I8" t="str">
            <v>UNDP</v>
          </cell>
        </row>
        <row r="9">
          <cell r="G9" t="str">
            <v>Infrastructure and Other Equipment</v>
          </cell>
          <cell r="I9" t="str">
            <v>Other Multilateral Organisation</v>
          </cell>
        </row>
        <row r="10">
          <cell r="G10" t="str">
            <v>Communication Materials</v>
          </cell>
        </row>
        <row r="11">
          <cell r="G11" t="str">
            <v>Monitoring and Evaluation (M&amp;E)</v>
          </cell>
        </row>
        <row r="12">
          <cell r="G12" t="str">
            <v>Living Support to Clients/Target Population</v>
          </cell>
        </row>
        <row r="13">
          <cell r="G13" t="str">
            <v>Planning and Administration</v>
          </cell>
        </row>
        <row r="14">
          <cell r="G14" t="str">
            <v>Overheads</v>
          </cell>
        </row>
        <row r="15">
          <cell r="G15"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 Bdg cat"/>
      <sheetName val="Master"/>
      <sheetName val="HR "/>
      <sheetName val="TA"/>
      <sheetName val="P&amp;A"/>
      <sheetName val="Com"/>
      <sheetName val="Benef"/>
      <sheetName val="Training"/>
      <sheetName val="I&amp;E"/>
      <sheetName val="M&amp;E"/>
      <sheetName val="Meds"/>
      <sheetName val="MDA"/>
      <sheetName val="Cost share"/>
    </sheetNames>
    <sheetDataSet>
      <sheetData sheetId="2">
        <row r="4">
          <cell r="C4" t="str">
            <v>HQ</v>
          </cell>
        </row>
        <row r="6">
          <cell r="D6" t="str">
            <v>Intl Admin staff</v>
          </cell>
          <cell r="E6">
            <v>49800</v>
          </cell>
          <cell r="F6">
            <v>4150</v>
          </cell>
          <cell r="G6">
            <v>4150</v>
          </cell>
          <cell r="H6">
            <v>4150</v>
          </cell>
          <cell r="I6">
            <v>4150</v>
          </cell>
          <cell r="J6">
            <v>4150</v>
          </cell>
          <cell r="K6">
            <v>4150</v>
          </cell>
          <cell r="L6">
            <v>4150</v>
          </cell>
          <cell r="M6">
            <v>4150</v>
          </cell>
          <cell r="N6">
            <v>4150</v>
          </cell>
          <cell r="O6">
            <v>4150</v>
          </cell>
          <cell r="P6">
            <v>4150</v>
          </cell>
          <cell r="Q6">
            <v>4150</v>
          </cell>
        </row>
        <row r="10">
          <cell r="C10" t="str">
            <v>HQ</v>
          </cell>
          <cell r="D10" t="str">
            <v>Coordinator WASHE</v>
          </cell>
          <cell r="E10">
            <v>45600</v>
          </cell>
          <cell r="F10">
            <v>3800</v>
          </cell>
          <cell r="G10">
            <v>3800</v>
          </cell>
          <cell r="H10">
            <v>3800</v>
          </cell>
          <cell r="I10">
            <v>3800</v>
          </cell>
          <cell r="J10">
            <v>3800</v>
          </cell>
          <cell r="K10">
            <v>3800</v>
          </cell>
          <cell r="L10">
            <v>3800</v>
          </cell>
          <cell r="M10">
            <v>3800</v>
          </cell>
          <cell r="N10">
            <v>3800</v>
          </cell>
          <cell r="O10">
            <v>3800</v>
          </cell>
          <cell r="P10">
            <v>3800</v>
          </cell>
          <cell r="Q10">
            <v>3800</v>
          </cell>
        </row>
        <row r="11">
          <cell r="C11" t="str">
            <v>HQ</v>
          </cell>
          <cell r="D11" t="str">
            <v>M&amp;E Coordinator</v>
          </cell>
          <cell r="E11">
            <v>45600</v>
          </cell>
          <cell r="F11">
            <v>3800</v>
          </cell>
          <cell r="G11">
            <v>3800</v>
          </cell>
          <cell r="H11">
            <v>3800</v>
          </cell>
          <cell r="I11">
            <v>3800</v>
          </cell>
          <cell r="J11">
            <v>3800</v>
          </cell>
          <cell r="K11">
            <v>3800</v>
          </cell>
          <cell r="L11">
            <v>3800</v>
          </cell>
          <cell r="M11">
            <v>3800</v>
          </cell>
          <cell r="N11">
            <v>3800</v>
          </cell>
          <cell r="O11">
            <v>3800</v>
          </cell>
          <cell r="P11">
            <v>3800</v>
          </cell>
          <cell r="Q11">
            <v>3800</v>
          </cell>
        </row>
        <row r="18">
          <cell r="D18" t="str">
            <v>Intl Capacity Building staff Provinces</v>
          </cell>
          <cell r="E18">
            <v>87600</v>
          </cell>
          <cell r="F18">
            <v>3800</v>
          </cell>
          <cell r="G18">
            <v>5800</v>
          </cell>
          <cell r="H18">
            <v>7800</v>
          </cell>
          <cell r="I18">
            <v>7800</v>
          </cell>
          <cell r="J18">
            <v>7800</v>
          </cell>
          <cell r="K18">
            <v>7800</v>
          </cell>
          <cell r="L18">
            <v>7800</v>
          </cell>
          <cell r="M18">
            <v>7800</v>
          </cell>
          <cell r="N18">
            <v>7800</v>
          </cell>
          <cell r="O18">
            <v>7800</v>
          </cell>
          <cell r="P18">
            <v>7800</v>
          </cell>
          <cell r="Q18">
            <v>7800</v>
          </cell>
        </row>
        <row r="23">
          <cell r="C23" t="str">
            <v>HQ</v>
          </cell>
        </row>
        <row r="27">
          <cell r="D27" t="str">
            <v>International staff - Fringe benefits HQ</v>
          </cell>
          <cell r="E27">
            <v>20150</v>
          </cell>
          <cell r="F27">
            <v>3600</v>
          </cell>
          <cell r="G27">
            <v>1350</v>
          </cell>
          <cell r="H27">
            <v>600</v>
          </cell>
          <cell r="I27">
            <v>600</v>
          </cell>
          <cell r="J27">
            <v>2100</v>
          </cell>
          <cell r="K27">
            <v>1150</v>
          </cell>
          <cell r="L27">
            <v>4900</v>
          </cell>
          <cell r="M27">
            <v>1400</v>
          </cell>
          <cell r="N27">
            <v>600</v>
          </cell>
          <cell r="O27">
            <v>2650</v>
          </cell>
          <cell r="P27">
            <v>600</v>
          </cell>
          <cell r="Q27">
            <v>600</v>
          </cell>
        </row>
        <row r="33">
          <cell r="D33" t="str">
            <v>International staff - Fringe benefits in-country</v>
          </cell>
          <cell r="E33">
            <v>53235</v>
          </cell>
          <cell r="F33">
            <v>4436.25</v>
          </cell>
          <cell r="G33">
            <v>4436.25</v>
          </cell>
          <cell r="H33">
            <v>4436.25</v>
          </cell>
          <cell r="I33">
            <v>4436.25</v>
          </cell>
          <cell r="J33">
            <v>4436.25</v>
          </cell>
          <cell r="K33">
            <v>4436.25</v>
          </cell>
          <cell r="L33">
            <v>4436.25</v>
          </cell>
          <cell r="M33">
            <v>4436.25</v>
          </cell>
          <cell r="N33">
            <v>4436.25</v>
          </cell>
          <cell r="O33">
            <v>4436.25</v>
          </cell>
          <cell r="P33">
            <v>4436.25</v>
          </cell>
          <cell r="Q33">
            <v>4436.25</v>
          </cell>
        </row>
        <row r="48">
          <cell r="C48" t="str">
            <v>Central </v>
          </cell>
          <cell r="D48" t="str">
            <v>National staff  M&amp;A Central</v>
          </cell>
          <cell r="E48">
            <v>101730.625</v>
          </cell>
          <cell r="F48">
            <v>7681.875</v>
          </cell>
          <cell r="G48">
            <v>7661.25</v>
          </cell>
          <cell r="H48">
            <v>10780</v>
          </cell>
          <cell r="I48">
            <v>7361.25</v>
          </cell>
          <cell r="J48">
            <v>7361.25</v>
          </cell>
          <cell r="K48">
            <v>7361.25</v>
          </cell>
          <cell r="L48">
            <v>7361.25</v>
          </cell>
          <cell r="M48">
            <v>7361.25</v>
          </cell>
          <cell r="N48">
            <v>10480</v>
          </cell>
          <cell r="O48">
            <v>7361.25</v>
          </cell>
          <cell r="P48">
            <v>7361.25</v>
          </cell>
          <cell r="Q48">
            <v>13598.75</v>
          </cell>
        </row>
        <row r="57">
          <cell r="C57" t="str">
            <v>Central </v>
          </cell>
          <cell r="D57" t="str">
            <v>National staff  M&amp;A Central</v>
          </cell>
          <cell r="E57">
            <v>23940</v>
          </cell>
          <cell r="F57">
            <v>1732.5</v>
          </cell>
          <cell r="G57">
            <v>1732.5</v>
          </cell>
          <cell r="H57">
            <v>2520</v>
          </cell>
          <cell r="I57">
            <v>1732.5</v>
          </cell>
          <cell r="J57">
            <v>1732.5</v>
          </cell>
          <cell r="K57">
            <v>1732.5</v>
          </cell>
          <cell r="L57">
            <v>1732.5</v>
          </cell>
          <cell r="M57">
            <v>1732.5</v>
          </cell>
          <cell r="N57">
            <v>2520</v>
          </cell>
          <cell r="O57">
            <v>1732.5</v>
          </cell>
          <cell r="P57">
            <v>1732.5</v>
          </cell>
          <cell r="Q57">
            <v>3307.5</v>
          </cell>
        </row>
        <row r="67">
          <cell r="C67" t="str">
            <v>Luanda</v>
          </cell>
          <cell r="D67" t="str">
            <v>National staff - Management &amp; Admin Luanda</v>
          </cell>
          <cell r="E67">
            <v>18961.992000000002</v>
          </cell>
          <cell r="F67">
            <v>1370.166</v>
          </cell>
          <cell r="G67">
            <v>1370.166</v>
          </cell>
          <cell r="H67">
            <v>2000.166</v>
          </cell>
          <cell r="I67">
            <v>1370.166</v>
          </cell>
          <cell r="J67">
            <v>1370.166</v>
          </cell>
          <cell r="K67">
            <v>1370.166</v>
          </cell>
          <cell r="L67">
            <v>1370.166</v>
          </cell>
          <cell r="M67">
            <v>1370.166</v>
          </cell>
          <cell r="N67">
            <v>2000.166</v>
          </cell>
          <cell r="O67">
            <v>1370.166</v>
          </cell>
          <cell r="P67">
            <v>1370.166</v>
          </cell>
          <cell r="Q67">
            <v>2630.166</v>
          </cell>
        </row>
        <row r="78">
          <cell r="C78" t="str">
            <v>Huambo</v>
          </cell>
          <cell r="D78" t="str">
            <v>National staff - Capacity Building Huambo</v>
          </cell>
          <cell r="E78">
            <v>41496</v>
          </cell>
          <cell r="F78">
            <v>3003</v>
          </cell>
          <cell r="G78">
            <v>3003</v>
          </cell>
          <cell r="H78">
            <v>4368</v>
          </cell>
          <cell r="I78">
            <v>3003</v>
          </cell>
          <cell r="J78">
            <v>3003</v>
          </cell>
          <cell r="K78">
            <v>3003</v>
          </cell>
          <cell r="L78">
            <v>3003</v>
          </cell>
          <cell r="M78">
            <v>3003</v>
          </cell>
          <cell r="N78">
            <v>4368</v>
          </cell>
          <cell r="O78">
            <v>3003</v>
          </cell>
          <cell r="P78">
            <v>3003</v>
          </cell>
          <cell r="Q78">
            <v>5733</v>
          </cell>
        </row>
        <row r="89">
          <cell r="C89" t="str">
            <v>Huambo</v>
          </cell>
          <cell r="D89" t="str">
            <v>National staff - Management &amp; Admin Huambo</v>
          </cell>
          <cell r="E89">
            <v>63840</v>
          </cell>
          <cell r="F89">
            <v>4620</v>
          </cell>
          <cell r="G89">
            <v>4620</v>
          </cell>
          <cell r="H89">
            <v>6720</v>
          </cell>
          <cell r="I89">
            <v>4620</v>
          </cell>
          <cell r="J89">
            <v>4620</v>
          </cell>
          <cell r="K89">
            <v>4620</v>
          </cell>
          <cell r="L89">
            <v>4620</v>
          </cell>
          <cell r="M89">
            <v>4620</v>
          </cell>
          <cell r="N89">
            <v>6720</v>
          </cell>
          <cell r="O89">
            <v>4620</v>
          </cell>
          <cell r="P89">
            <v>4620</v>
          </cell>
          <cell r="Q89">
            <v>8820</v>
          </cell>
        </row>
        <row r="99">
          <cell r="C99" t="str">
            <v>Huambo</v>
          </cell>
          <cell r="D99" t="str">
            <v>National staff - WASHE Huambo</v>
          </cell>
          <cell r="E99">
            <v>27132</v>
          </cell>
          <cell r="F99">
            <v>1963.5</v>
          </cell>
          <cell r="G99">
            <v>1963.5</v>
          </cell>
          <cell r="H99">
            <v>2856</v>
          </cell>
          <cell r="I99">
            <v>1963.5</v>
          </cell>
          <cell r="J99">
            <v>1963.5</v>
          </cell>
          <cell r="K99">
            <v>1963.5</v>
          </cell>
          <cell r="L99">
            <v>1963.5</v>
          </cell>
          <cell r="M99">
            <v>1963.5</v>
          </cell>
          <cell r="N99">
            <v>2856</v>
          </cell>
          <cell r="O99">
            <v>1963.5</v>
          </cell>
          <cell r="P99">
            <v>1963.5</v>
          </cell>
          <cell r="Q99">
            <v>3748.5</v>
          </cell>
        </row>
        <row r="111">
          <cell r="C111" t="str">
            <v>Uige</v>
          </cell>
          <cell r="D111" t="str">
            <v>National staff - Capacity Building Uige</v>
          </cell>
          <cell r="E111">
            <v>90712.5</v>
          </cell>
          <cell r="F111">
            <v>6641.25</v>
          </cell>
          <cell r="G111">
            <v>6558.75</v>
          </cell>
          <cell r="H111">
            <v>9540</v>
          </cell>
          <cell r="I111">
            <v>6558.75</v>
          </cell>
          <cell r="J111">
            <v>6558.75</v>
          </cell>
          <cell r="K111">
            <v>6558.75</v>
          </cell>
          <cell r="L111">
            <v>6558.75</v>
          </cell>
          <cell r="M111">
            <v>6558.75</v>
          </cell>
          <cell r="N111">
            <v>9540</v>
          </cell>
          <cell r="O111">
            <v>6558.75</v>
          </cell>
          <cell r="P111">
            <v>6558.75</v>
          </cell>
          <cell r="Q111">
            <v>12521.25</v>
          </cell>
        </row>
        <row r="123">
          <cell r="C123" t="str">
            <v>Uige</v>
          </cell>
          <cell r="D123" t="str">
            <v>National staff - Management &amp; Admin Uige</v>
          </cell>
          <cell r="E123">
            <v>36253.875</v>
          </cell>
          <cell r="F123">
            <v>2627.625</v>
          </cell>
          <cell r="G123">
            <v>2627.625</v>
          </cell>
          <cell r="H123">
            <v>3822</v>
          </cell>
          <cell r="I123">
            <v>2627.625</v>
          </cell>
          <cell r="J123">
            <v>2627.625</v>
          </cell>
          <cell r="K123">
            <v>2627.625</v>
          </cell>
          <cell r="L123">
            <v>2627.625</v>
          </cell>
          <cell r="M123">
            <v>2627.625</v>
          </cell>
          <cell r="N123">
            <v>3822</v>
          </cell>
          <cell r="O123">
            <v>2627.625</v>
          </cell>
          <cell r="P123">
            <v>2627.625</v>
          </cell>
          <cell r="Q123">
            <v>4961.25</v>
          </cell>
        </row>
        <row r="133">
          <cell r="C133" t="str">
            <v>Uige</v>
          </cell>
          <cell r="D133" t="str">
            <v>National staff - WASHE Uige</v>
          </cell>
          <cell r="E133">
            <v>26657.75</v>
          </cell>
          <cell r="F133">
            <v>1982.75</v>
          </cell>
          <cell r="G133">
            <v>1925</v>
          </cell>
          <cell r="H133">
            <v>2800</v>
          </cell>
          <cell r="I133">
            <v>1925</v>
          </cell>
          <cell r="J133">
            <v>1925</v>
          </cell>
          <cell r="K133">
            <v>1925</v>
          </cell>
          <cell r="L133">
            <v>1925</v>
          </cell>
          <cell r="M133">
            <v>1925</v>
          </cell>
          <cell r="N133">
            <v>2800</v>
          </cell>
          <cell r="O133">
            <v>1925</v>
          </cell>
          <cell r="P133">
            <v>1925</v>
          </cell>
          <cell r="Q133">
            <v>3675</v>
          </cell>
        </row>
        <row r="145">
          <cell r="C145" t="str">
            <v>Zaire</v>
          </cell>
          <cell r="D145" t="str">
            <v>National staff - Capacity Building Zaire</v>
          </cell>
          <cell r="E145">
            <v>47500</v>
          </cell>
          <cell r="F145">
            <v>3437.5</v>
          </cell>
          <cell r="G145">
            <v>3437.5</v>
          </cell>
          <cell r="H145">
            <v>5000</v>
          </cell>
          <cell r="I145">
            <v>3437.5</v>
          </cell>
          <cell r="J145">
            <v>3437.5</v>
          </cell>
          <cell r="K145">
            <v>3437.5</v>
          </cell>
          <cell r="L145">
            <v>3437.5</v>
          </cell>
          <cell r="M145">
            <v>3437.5</v>
          </cell>
          <cell r="N145">
            <v>5000</v>
          </cell>
          <cell r="O145">
            <v>3437.5</v>
          </cell>
          <cell r="P145">
            <v>3437.5</v>
          </cell>
          <cell r="Q145">
            <v>6562.5</v>
          </cell>
        </row>
        <row r="157">
          <cell r="C157" t="str">
            <v>Zaire</v>
          </cell>
          <cell r="D157" t="str">
            <v>National staff - Management &amp; Admin Zaire</v>
          </cell>
          <cell r="E157">
            <v>15960</v>
          </cell>
          <cell r="F157">
            <v>1155</v>
          </cell>
          <cell r="G157">
            <v>1155</v>
          </cell>
          <cell r="H157">
            <v>1680</v>
          </cell>
          <cell r="I157">
            <v>1155</v>
          </cell>
          <cell r="J157">
            <v>1155</v>
          </cell>
          <cell r="K157">
            <v>1155</v>
          </cell>
          <cell r="L157">
            <v>1155</v>
          </cell>
          <cell r="M157">
            <v>1155</v>
          </cell>
          <cell r="N157">
            <v>1680</v>
          </cell>
          <cell r="O157">
            <v>1155</v>
          </cell>
          <cell r="P157">
            <v>1155</v>
          </cell>
          <cell r="Q157">
            <v>2205</v>
          </cell>
        </row>
        <row r="167">
          <cell r="C167" t="str">
            <v>Zaire</v>
          </cell>
          <cell r="D167" t="str">
            <v>National staff - WASHE Zaire</v>
          </cell>
          <cell r="E167">
            <v>0</v>
          </cell>
          <cell r="F167">
            <v>0</v>
          </cell>
          <cell r="G167">
            <v>0</v>
          </cell>
          <cell r="H167">
            <v>0</v>
          </cell>
          <cell r="I167">
            <v>0</v>
          </cell>
          <cell r="J167">
            <v>0</v>
          </cell>
          <cell r="K167">
            <v>0</v>
          </cell>
          <cell r="L167">
            <v>0</v>
          </cell>
          <cell r="M167">
            <v>0</v>
          </cell>
          <cell r="N167">
            <v>0</v>
          </cell>
          <cell r="O167">
            <v>0</v>
          </cell>
          <cell r="P167">
            <v>0</v>
          </cell>
          <cell r="Q167">
            <v>0</v>
          </cell>
        </row>
        <row r="179">
          <cell r="C179" t="str">
            <v>Bie</v>
          </cell>
          <cell r="D179" t="str">
            <v>National staff - Capacity Building Bie </v>
          </cell>
          <cell r="E179">
            <v>82992</v>
          </cell>
          <cell r="F179">
            <v>6006</v>
          </cell>
          <cell r="G179">
            <v>6006</v>
          </cell>
          <cell r="H179">
            <v>8736</v>
          </cell>
          <cell r="I179">
            <v>6006</v>
          </cell>
          <cell r="J179">
            <v>6006</v>
          </cell>
          <cell r="K179">
            <v>6006</v>
          </cell>
          <cell r="L179">
            <v>6006</v>
          </cell>
          <cell r="M179">
            <v>6006</v>
          </cell>
          <cell r="N179">
            <v>8736</v>
          </cell>
          <cell r="O179">
            <v>6006</v>
          </cell>
          <cell r="P179">
            <v>6006</v>
          </cell>
          <cell r="Q179">
            <v>11466</v>
          </cell>
        </row>
      </sheetData>
      <sheetData sheetId="3">
        <row r="4">
          <cell r="C4" t="str">
            <v>Central</v>
          </cell>
          <cell r="D4" t="str">
            <v>Consultants (short term assignments)</v>
          </cell>
          <cell r="E4">
            <v>30000</v>
          </cell>
          <cell r="F4">
            <v>0</v>
          </cell>
          <cell r="G4">
            <v>7500</v>
          </cell>
          <cell r="H4">
            <v>0</v>
          </cell>
          <cell r="I4">
            <v>0</v>
          </cell>
          <cell r="J4">
            <v>0</v>
          </cell>
          <cell r="K4">
            <v>7500</v>
          </cell>
          <cell r="L4">
            <v>0</v>
          </cell>
          <cell r="M4">
            <v>0</v>
          </cell>
          <cell r="N4">
            <v>7500</v>
          </cell>
          <cell r="O4">
            <v>0</v>
          </cell>
          <cell r="P4">
            <v>0</v>
          </cell>
          <cell r="Q4">
            <v>7500</v>
          </cell>
        </row>
        <row r="12">
          <cell r="C12" t="str">
            <v>HQ</v>
          </cell>
          <cell r="D12" t="str">
            <v>HQ Technical Assistance </v>
          </cell>
          <cell r="E12">
            <v>38525</v>
          </cell>
          <cell r="F12">
            <v>2000</v>
          </cell>
          <cell r="G12">
            <v>2000</v>
          </cell>
          <cell r="H12">
            <v>3050</v>
          </cell>
          <cell r="I12">
            <v>2000</v>
          </cell>
          <cell r="J12">
            <v>4675</v>
          </cell>
          <cell r="K12">
            <v>3050</v>
          </cell>
          <cell r="L12">
            <v>2000</v>
          </cell>
          <cell r="M12">
            <v>2000</v>
          </cell>
          <cell r="N12">
            <v>3050</v>
          </cell>
          <cell r="O12">
            <v>2000</v>
          </cell>
          <cell r="P12">
            <v>9650</v>
          </cell>
          <cell r="Q12">
            <v>3050</v>
          </cell>
        </row>
        <row r="20">
          <cell r="C20" t="str">
            <v>Luanda</v>
          </cell>
          <cell r="D20" t="str">
            <v>Subsidy to MoH NTD staff / Consultants</v>
          </cell>
          <cell r="E20">
            <v>55200</v>
          </cell>
          <cell r="F20">
            <v>4600</v>
          </cell>
          <cell r="G20">
            <v>4600</v>
          </cell>
          <cell r="H20">
            <v>4600</v>
          </cell>
          <cell r="I20">
            <v>4600</v>
          </cell>
          <cell r="J20">
            <v>4600</v>
          </cell>
          <cell r="K20">
            <v>4600</v>
          </cell>
          <cell r="L20">
            <v>4600</v>
          </cell>
          <cell r="M20">
            <v>4600</v>
          </cell>
          <cell r="N20">
            <v>4600</v>
          </cell>
          <cell r="O20">
            <v>4600</v>
          </cell>
          <cell r="P20">
            <v>4600</v>
          </cell>
          <cell r="Q20">
            <v>4600</v>
          </cell>
        </row>
        <row r="24">
          <cell r="C24" t="str">
            <v>Central</v>
          </cell>
          <cell r="D24" t="str">
            <v>Daily labor (e.g. replacement guards, drivers, etc.)</v>
          </cell>
          <cell r="E24">
            <v>3600</v>
          </cell>
          <cell r="F24">
            <v>300</v>
          </cell>
          <cell r="G24">
            <v>300</v>
          </cell>
          <cell r="H24">
            <v>300</v>
          </cell>
          <cell r="I24">
            <v>300</v>
          </cell>
          <cell r="J24">
            <v>300</v>
          </cell>
          <cell r="K24">
            <v>300</v>
          </cell>
          <cell r="L24">
            <v>300</v>
          </cell>
          <cell r="M24">
            <v>300</v>
          </cell>
          <cell r="N24">
            <v>300</v>
          </cell>
          <cell r="O24">
            <v>300</v>
          </cell>
          <cell r="P24">
            <v>300</v>
          </cell>
          <cell r="Q24">
            <v>300</v>
          </cell>
        </row>
        <row r="25">
          <cell r="C25" t="str">
            <v>Luanda</v>
          </cell>
          <cell r="D25" t="str">
            <v>Daily labor (e.g replacement driver, repairs, etc.)</v>
          </cell>
          <cell r="E25">
            <v>1200</v>
          </cell>
          <cell r="F25">
            <v>100</v>
          </cell>
          <cell r="G25">
            <v>100</v>
          </cell>
          <cell r="H25">
            <v>100</v>
          </cell>
          <cell r="I25">
            <v>100</v>
          </cell>
          <cell r="J25">
            <v>100</v>
          </cell>
          <cell r="K25">
            <v>100</v>
          </cell>
          <cell r="L25">
            <v>100</v>
          </cell>
          <cell r="M25">
            <v>100</v>
          </cell>
          <cell r="N25">
            <v>100</v>
          </cell>
          <cell r="O25">
            <v>100</v>
          </cell>
          <cell r="P25">
            <v>100</v>
          </cell>
          <cell r="Q25">
            <v>100</v>
          </cell>
        </row>
        <row r="26">
          <cell r="C26" t="str">
            <v>Uige</v>
          </cell>
          <cell r="D26" t="str">
            <v>Daily labor (e.g. replacement guards, drivers, etc. )</v>
          </cell>
          <cell r="E26">
            <v>2400</v>
          </cell>
          <cell r="F26">
            <v>200</v>
          </cell>
          <cell r="G26">
            <v>200</v>
          </cell>
          <cell r="H26">
            <v>200</v>
          </cell>
          <cell r="I26">
            <v>200</v>
          </cell>
          <cell r="J26">
            <v>200</v>
          </cell>
          <cell r="K26">
            <v>200</v>
          </cell>
          <cell r="L26">
            <v>200</v>
          </cell>
          <cell r="M26">
            <v>200</v>
          </cell>
          <cell r="N26">
            <v>200</v>
          </cell>
          <cell r="O26">
            <v>200</v>
          </cell>
          <cell r="P26">
            <v>200</v>
          </cell>
          <cell r="Q26">
            <v>200</v>
          </cell>
        </row>
        <row r="27">
          <cell r="C27" t="str">
            <v>Zaire</v>
          </cell>
          <cell r="D27" t="str">
            <v>Daily labor (e.g. replacement guards, drivers, etc. )</v>
          </cell>
          <cell r="E27">
            <v>1800</v>
          </cell>
          <cell r="F27">
            <v>150</v>
          </cell>
          <cell r="G27">
            <v>150</v>
          </cell>
          <cell r="H27">
            <v>150</v>
          </cell>
          <cell r="I27">
            <v>150</v>
          </cell>
          <cell r="J27">
            <v>150</v>
          </cell>
          <cell r="K27">
            <v>150</v>
          </cell>
          <cell r="L27">
            <v>150</v>
          </cell>
          <cell r="M27">
            <v>150</v>
          </cell>
          <cell r="N27">
            <v>150</v>
          </cell>
          <cell r="O27">
            <v>150</v>
          </cell>
          <cell r="P27">
            <v>150</v>
          </cell>
          <cell r="Q27">
            <v>150</v>
          </cell>
        </row>
        <row r="28">
          <cell r="C28" t="str">
            <v>Bie</v>
          </cell>
          <cell r="D28" t="str">
            <v>Daily labor (e.g. replacement guards, drivers, etc. )</v>
          </cell>
          <cell r="E28">
            <v>1200</v>
          </cell>
          <cell r="F28">
            <v>100</v>
          </cell>
          <cell r="G28">
            <v>100</v>
          </cell>
          <cell r="H28">
            <v>100</v>
          </cell>
          <cell r="I28">
            <v>100</v>
          </cell>
          <cell r="J28">
            <v>100</v>
          </cell>
          <cell r="K28">
            <v>100</v>
          </cell>
          <cell r="L28">
            <v>100</v>
          </cell>
          <cell r="M28">
            <v>100</v>
          </cell>
          <cell r="N28">
            <v>100</v>
          </cell>
          <cell r="O28">
            <v>100</v>
          </cell>
          <cell r="P28">
            <v>100</v>
          </cell>
          <cell r="Q28">
            <v>100</v>
          </cell>
        </row>
      </sheetData>
      <sheetData sheetId="4">
        <row r="4">
          <cell r="C4" t="str">
            <v>Central</v>
          </cell>
        </row>
        <row r="9">
          <cell r="D9" t="str">
            <v>Rent Office &amp; staff accom</v>
          </cell>
          <cell r="E9">
            <v>126100</v>
          </cell>
          <cell r="F9">
            <v>39000</v>
          </cell>
          <cell r="G9">
            <v>3500</v>
          </cell>
          <cell r="H9">
            <v>0</v>
          </cell>
          <cell r="I9">
            <v>0</v>
          </cell>
          <cell r="J9">
            <v>0</v>
          </cell>
          <cell r="K9">
            <v>56600</v>
          </cell>
          <cell r="L9">
            <v>27000</v>
          </cell>
          <cell r="M9">
            <v>0</v>
          </cell>
          <cell r="N9">
            <v>0</v>
          </cell>
          <cell r="O9">
            <v>0</v>
          </cell>
          <cell r="P9">
            <v>0</v>
          </cell>
          <cell r="Q9">
            <v>0</v>
          </cell>
        </row>
        <row r="13">
          <cell r="C13" t="str">
            <v>Central</v>
          </cell>
          <cell r="D13" t="str">
            <v>Office &amp; accom running (utilities, stationary, communication, bank fees, representation, etc)</v>
          </cell>
          <cell r="E13">
            <v>12000</v>
          </cell>
          <cell r="F13">
            <v>1000</v>
          </cell>
          <cell r="G13">
            <v>1000</v>
          </cell>
          <cell r="H13">
            <v>1000</v>
          </cell>
          <cell r="I13">
            <v>1000</v>
          </cell>
          <cell r="J13">
            <v>1000</v>
          </cell>
          <cell r="K13">
            <v>1000</v>
          </cell>
          <cell r="L13">
            <v>1000</v>
          </cell>
          <cell r="M13">
            <v>1000</v>
          </cell>
          <cell r="N13">
            <v>1000</v>
          </cell>
          <cell r="O13">
            <v>1000</v>
          </cell>
          <cell r="P13">
            <v>1000</v>
          </cell>
          <cell r="Q13">
            <v>1000</v>
          </cell>
        </row>
        <row r="14">
          <cell r="C14" t="str">
            <v>Luanda</v>
          </cell>
          <cell r="D14" t="str">
            <v>Office &amp; accom running (utilities, stationary, communication, bank fees, etc)</v>
          </cell>
          <cell r="E14">
            <v>4800</v>
          </cell>
          <cell r="F14">
            <v>400</v>
          </cell>
          <cell r="G14">
            <v>400</v>
          </cell>
          <cell r="H14">
            <v>400</v>
          </cell>
          <cell r="I14">
            <v>400</v>
          </cell>
          <cell r="J14">
            <v>400</v>
          </cell>
          <cell r="K14">
            <v>400</v>
          </cell>
          <cell r="L14">
            <v>400</v>
          </cell>
          <cell r="M14">
            <v>400</v>
          </cell>
          <cell r="N14">
            <v>400</v>
          </cell>
          <cell r="O14">
            <v>400</v>
          </cell>
          <cell r="P14">
            <v>400</v>
          </cell>
          <cell r="Q14">
            <v>400</v>
          </cell>
        </row>
        <row r="15">
          <cell r="C15" t="str">
            <v>Uige</v>
          </cell>
          <cell r="D15" t="str">
            <v>Office &amp; accom running (utilities, stationary, communication, bank fees, etc)</v>
          </cell>
          <cell r="E15">
            <v>7200</v>
          </cell>
          <cell r="F15">
            <v>600</v>
          </cell>
          <cell r="G15">
            <v>600</v>
          </cell>
          <cell r="H15">
            <v>600</v>
          </cell>
          <cell r="I15">
            <v>600</v>
          </cell>
          <cell r="J15">
            <v>600</v>
          </cell>
          <cell r="K15">
            <v>600</v>
          </cell>
          <cell r="L15">
            <v>600</v>
          </cell>
          <cell r="M15">
            <v>600</v>
          </cell>
          <cell r="N15">
            <v>600</v>
          </cell>
          <cell r="O15">
            <v>600</v>
          </cell>
          <cell r="P15">
            <v>600</v>
          </cell>
          <cell r="Q15">
            <v>600</v>
          </cell>
        </row>
        <row r="16">
          <cell r="C16" t="str">
            <v>Zaire</v>
          </cell>
          <cell r="D16" t="str">
            <v>Office &amp; accom running (utilities, stationary, communication, bank fees, etc)</v>
          </cell>
          <cell r="E16">
            <v>4000</v>
          </cell>
          <cell r="F16">
            <v>500</v>
          </cell>
          <cell r="G16">
            <v>250</v>
          </cell>
          <cell r="H16">
            <v>250</v>
          </cell>
          <cell r="I16">
            <v>500</v>
          </cell>
          <cell r="J16">
            <v>250</v>
          </cell>
          <cell r="K16">
            <v>250</v>
          </cell>
          <cell r="L16">
            <v>500</v>
          </cell>
          <cell r="M16">
            <v>250</v>
          </cell>
          <cell r="N16">
            <v>250</v>
          </cell>
          <cell r="O16">
            <v>500</v>
          </cell>
          <cell r="P16">
            <v>250</v>
          </cell>
          <cell r="Q16">
            <v>250</v>
          </cell>
        </row>
        <row r="17">
          <cell r="C17" t="str">
            <v>Bie</v>
          </cell>
          <cell r="D17" t="str">
            <v>Office &amp; accom running (utilities, stationary, communication, bank fees, etc)</v>
          </cell>
          <cell r="E17">
            <v>4000</v>
          </cell>
          <cell r="F17">
            <v>500</v>
          </cell>
          <cell r="G17">
            <v>250</v>
          </cell>
          <cell r="H17">
            <v>250</v>
          </cell>
          <cell r="I17">
            <v>500</v>
          </cell>
          <cell r="J17">
            <v>250</v>
          </cell>
          <cell r="K17">
            <v>250</v>
          </cell>
          <cell r="L17">
            <v>500</v>
          </cell>
          <cell r="M17">
            <v>250</v>
          </cell>
          <cell r="N17">
            <v>250</v>
          </cell>
          <cell r="O17">
            <v>500</v>
          </cell>
          <cell r="P17">
            <v>250</v>
          </cell>
          <cell r="Q17">
            <v>250</v>
          </cell>
        </row>
        <row r="21">
          <cell r="C21" t="str">
            <v>Central</v>
          </cell>
          <cell r="D21" t="str">
            <v>National travel </v>
          </cell>
          <cell r="E21">
            <v>9600</v>
          </cell>
          <cell r="F21">
            <v>800</v>
          </cell>
          <cell r="G21">
            <v>800</v>
          </cell>
          <cell r="H21">
            <v>800</v>
          </cell>
          <cell r="I21">
            <v>800</v>
          </cell>
          <cell r="J21">
            <v>800</v>
          </cell>
          <cell r="K21">
            <v>800</v>
          </cell>
          <cell r="L21">
            <v>800</v>
          </cell>
          <cell r="M21">
            <v>800</v>
          </cell>
          <cell r="N21">
            <v>800</v>
          </cell>
          <cell r="O21">
            <v>800</v>
          </cell>
          <cell r="P21">
            <v>800</v>
          </cell>
          <cell r="Q21">
            <v>800</v>
          </cell>
        </row>
        <row r="22">
          <cell r="C22" t="str">
            <v>Central</v>
          </cell>
          <cell r="D22" t="str">
            <v>Translations &amp; legal fees </v>
          </cell>
          <cell r="E22">
            <v>3000</v>
          </cell>
          <cell r="F22">
            <v>250</v>
          </cell>
          <cell r="G22">
            <v>250</v>
          </cell>
          <cell r="H22">
            <v>250</v>
          </cell>
          <cell r="I22">
            <v>250</v>
          </cell>
          <cell r="J22">
            <v>250</v>
          </cell>
          <cell r="K22">
            <v>250</v>
          </cell>
          <cell r="L22">
            <v>250</v>
          </cell>
          <cell r="M22">
            <v>250</v>
          </cell>
          <cell r="N22">
            <v>250</v>
          </cell>
          <cell r="O22">
            <v>250</v>
          </cell>
          <cell r="P22">
            <v>250</v>
          </cell>
          <cell r="Q22">
            <v>250</v>
          </cell>
        </row>
        <row r="23">
          <cell r="C23" t="str">
            <v>Central</v>
          </cell>
          <cell r="D23" t="str">
            <v>Mid term F&amp;A evaluation</v>
          </cell>
          <cell r="E23">
            <v>0</v>
          </cell>
          <cell r="F23">
            <v>0</v>
          </cell>
          <cell r="G23">
            <v>0</v>
          </cell>
          <cell r="H23">
            <v>0</v>
          </cell>
          <cell r="I23">
            <v>0</v>
          </cell>
          <cell r="J23">
            <v>0</v>
          </cell>
          <cell r="K23">
            <v>0</v>
          </cell>
          <cell r="L23">
            <v>0</v>
          </cell>
          <cell r="M23">
            <v>0</v>
          </cell>
          <cell r="N23">
            <v>0</v>
          </cell>
          <cell r="O23">
            <v>0</v>
          </cell>
          <cell r="P23">
            <v>0</v>
          </cell>
          <cell r="Q23">
            <v>0</v>
          </cell>
        </row>
        <row r="24">
          <cell r="C24" t="str">
            <v>HQ</v>
          </cell>
          <cell r="D24" t="str">
            <v>Audit fees</v>
          </cell>
          <cell r="E24">
            <v>7500</v>
          </cell>
          <cell r="F24">
            <v>0</v>
          </cell>
          <cell r="G24">
            <v>0</v>
          </cell>
          <cell r="H24">
            <v>0</v>
          </cell>
          <cell r="I24">
            <v>0</v>
          </cell>
          <cell r="J24">
            <v>0</v>
          </cell>
          <cell r="K24">
            <v>7500</v>
          </cell>
          <cell r="L24">
            <v>0</v>
          </cell>
          <cell r="M24">
            <v>0</v>
          </cell>
          <cell r="N24">
            <v>0</v>
          </cell>
          <cell r="O24">
            <v>0</v>
          </cell>
          <cell r="P24">
            <v>0</v>
          </cell>
          <cell r="Q24">
            <v>0</v>
          </cell>
        </row>
        <row r="28">
          <cell r="C28" t="str">
            <v>Huambo</v>
          </cell>
          <cell r="D28" t="str">
            <v>staff travel &amp; accommodation</v>
          </cell>
          <cell r="E28">
            <v>3000</v>
          </cell>
          <cell r="F28">
            <v>250</v>
          </cell>
          <cell r="G28">
            <v>250</v>
          </cell>
          <cell r="H28">
            <v>250</v>
          </cell>
          <cell r="I28">
            <v>250</v>
          </cell>
          <cell r="J28">
            <v>250</v>
          </cell>
          <cell r="K28">
            <v>250</v>
          </cell>
          <cell r="L28">
            <v>250</v>
          </cell>
          <cell r="M28">
            <v>250</v>
          </cell>
          <cell r="N28">
            <v>250</v>
          </cell>
          <cell r="O28">
            <v>250</v>
          </cell>
          <cell r="P28">
            <v>250</v>
          </cell>
          <cell r="Q28">
            <v>250</v>
          </cell>
        </row>
        <row r="29">
          <cell r="C29" t="str">
            <v>Uige</v>
          </cell>
          <cell r="D29" t="str">
            <v>staff travel &amp; accommodation</v>
          </cell>
          <cell r="E29">
            <v>3000</v>
          </cell>
          <cell r="F29">
            <v>250</v>
          </cell>
          <cell r="G29">
            <v>250</v>
          </cell>
          <cell r="H29">
            <v>250</v>
          </cell>
          <cell r="I29">
            <v>250</v>
          </cell>
          <cell r="J29">
            <v>250</v>
          </cell>
          <cell r="K29">
            <v>250</v>
          </cell>
          <cell r="L29">
            <v>250</v>
          </cell>
          <cell r="M29">
            <v>250</v>
          </cell>
          <cell r="N29">
            <v>250</v>
          </cell>
          <cell r="O29">
            <v>250</v>
          </cell>
          <cell r="P29">
            <v>250</v>
          </cell>
          <cell r="Q29">
            <v>250</v>
          </cell>
        </row>
        <row r="30">
          <cell r="C30" t="str">
            <v>Zaire</v>
          </cell>
          <cell r="D30" t="str">
            <v>staff travel &amp; accommodation</v>
          </cell>
          <cell r="E30">
            <v>1200</v>
          </cell>
          <cell r="F30">
            <v>100</v>
          </cell>
          <cell r="G30">
            <v>100</v>
          </cell>
          <cell r="H30">
            <v>100</v>
          </cell>
          <cell r="I30">
            <v>100</v>
          </cell>
          <cell r="J30">
            <v>100</v>
          </cell>
          <cell r="K30">
            <v>100</v>
          </cell>
          <cell r="L30">
            <v>100</v>
          </cell>
          <cell r="M30">
            <v>100</v>
          </cell>
          <cell r="N30">
            <v>100</v>
          </cell>
          <cell r="O30">
            <v>100</v>
          </cell>
          <cell r="P30">
            <v>100</v>
          </cell>
          <cell r="Q30">
            <v>100</v>
          </cell>
        </row>
        <row r="31">
          <cell r="C31" t="str">
            <v>Bie</v>
          </cell>
          <cell r="D31" t="str">
            <v>staff travel &amp; accommodation</v>
          </cell>
          <cell r="E31">
            <v>3000</v>
          </cell>
          <cell r="F31">
            <v>250</v>
          </cell>
          <cell r="G31">
            <v>250</v>
          </cell>
          <cell r="H31">
            <v>250</v>
          </cell>
          <cell r="I31">
            <v>250</v>
          </cell>
          <cell r="J31">
            <v>250</v>
          </cell>
          <cell r="K31">
            <v>250</v>
          </cell>
          <cell r="L31">
            <v>250</v>
          </cell>
          <cell r="M31">
            <v>250</v>
          </cell>
          <cell r="N31">
            <v>250</v>
          </cell>
          <cell r="O31">
            <v>250</v>
          </cell>
          <cell r="P31">
            <v>250</v>
          </cell>
          <cell r="Q31">
            <v>250</v>
          </cell>
        </row>
      </sheetData>
      <sheetData sheetId="5">
        <row r="4">
          <cell r="C4" t="str">
            <v>Huambo</v>
          </cell>
          <cell r="D4" t="str">
            <v>Advocacy &amp; mobilization</v>
          </cell>
          <cell r="E4">
            <v>1500</v>
          </cell>
          <cell r="F4">
            <v>0</v>
          </cell>
          <cell r="G4">
            <v>1500</v>
          </cell>
          <cell r="H4">
            <v>0</v>
          </cell>
          <cell r="I4">
            <v>0</v>
          </cell>
          <cell r="J4">
            <v>0</v>
          </cell>
          <cell r="K4">
            <v>0</v>
          </cell>
          <cell r="L4">
            <v>0</v>
          </cell>
          <cell r="M4">
            <v>0</v>
          </cell>
          <cell r="N4">
            <v>0</v>
          </cell>
          <cell r="O4">
            <v>0</v>
          </cell>
          <cell r="P4">
            <v>0</v>
          </cell>
          <cell r="Q4">
            <v>0</v>
          </cell>
        </row>
        <row r="5">
          <cell r="C5" t="str">
            <v>Uige</v>
          </cell>
          <cell r="D5" t="str">
            <v>Advocacy &amp; mobilization</v>
          </cell>
          <cell r="E5">
            <v>4500</v>
          </cell>
          <cell r="F5">
            <v>0</v>
          </cell>
          <cell r="G5">
            <v>0</v>
          </cell>
          <cell r="H5">
            <v>1500</v>
          </cell>
          <cell r="I5">
            <v>0</v>
          </cell>
          <cell r="J5">
            <v>0</v>
          </cell>
          <cell r="K5">
            <v>1500</v>
          </cell>
          <cell r="L5">
            <v>0</v>
          </cell>
          <cell r="M5">
            <v>0</v>
          </cell>
          <cell r="N5">
            <v>0</v>
          </cell>
          <cell r="O5">
            <v>0</v>
          </cell>
          <cell r="P5">
            <v>1500</v>
          </cell>
          <cell r="Q5">
            <v>0</v>
          </cell>
        </row>
        <row r="6">
          <cell r="C6" t="str">
            <v>Zaire</v>
          </cell>
          <cell r="D6" t="str">
            <v>Advocacy &amp; mobilization</v>
          </cell>
          <cell r="E6">
            <v>1500</v>
          </cell>
          <cell r="F6">
            <v>0</v>
          </cell>
          <cell r="G6">
            <v>0</v>
          </cell>
          <cell r="H6">
            <v>0</v>
          </cell>
          <cell r="I6">
            <v>1500</v>
          </cell>
          <cell r="J6">
            <v>0</v>
          </cell>
          <cell r="K6">
            <v>0</v>
          </cell>
          <cell r="L6">
            <v>0</v>
          </cell>
          <cell r="M6">
            <v>0</v>
          </cell>
          <cell r="N6">
            <v>0</v>
          </cell>
          <cell r="O6">
            <v>0</v>
          </cell>
          <cell r="P6">
            <v>0</v>
          </cell>
          <cell r="Q6">
            <v>0</v>
          </cell>
        </row>
        <row r="7">
          <cell r="C7" t="str">
            <v>Bie</v>
          </cell>
          <cell r="D7" t="str">
            <v>Advocacy &amp; mobilization</v>
          </cell>
          <cell r="E7">
            <v>1500</v>
          </cell>
          <cell r="F7">
            <v>0</v>
          </cell>
          <cell r="G7">
            <v>0</v>
          </cell>
          <cell r="H7">
            <v>0</v>
          </cell>
          <cell r="I7">
            <v>0</v>
          </cell>
          <cell r="J7">
            <v>1500</v>
          </cell>
          <cell r="K7">
            <v>0</v>
          </cell>
          <cell r="L7">
            <v>0</v>
          </cell>
          <cell r="M7">
            <v>0</v>
          </cell>
          <cell r="N7">
            <v>0</v>
          </cell>
          <cell r="O7">
            <v>0</v>
          </cell>
          <cell r="P7">
            <v>0</v>
          </cell>
          <cell r="Q7">
            <v>0</v>
          </cell>
        </row>
        <row r="8">
          <cell r="C8" t="str">
            <v>Other</v>
          </cell>
          <cell r="D8" t="str">
            <v>Advocacy &amp; mobilization</v>
          </cell>
          <cell r="E8">
            <v>3000</v>
          </cell>
          <cell r="F8">
            <v>0</v>
          </cell>
          <cell r="G8">
            <v>0</v>
          </cell>
          <cell r="H8">
            <v>0</v>
          </cell>
          <cell r="I8">
            <v>1500</v>
          </cell>
          <cell r="J8">
            <v>0</v>
          </cell>
          <cell r="K8">
            <v>0</v>
          </cell>
          <cell r="L8">
            <v>1500</v>
          </cell>
          <cell r="M8">
            <v>0</v>
          </cell>
          <cell r="N8">
            <v>0</v>
          </cell>
          <cell r="O8">
            <v>0</v>
          </cell>
          <cell r="P8">
            <v>0</v>
          </cell>
          <cell r="Q8">
            <v>0</v>
          </cell>
        </row>
        <row r="9">
          <cell r="C9" t="str">
            <v>Huambo</v>
          </cell>
          <cell r="D9" t="str">
            <v>IEC materials</v>
          </cell>
          <cell r="E9">
            <v>7830</v>
          </cell>
          <cell r="F9">
            <v>7830</v>
          </cell>
          <cell r="G9">
            <v>0</v>
          </cell>
          <cell r="H9">
            <v>0</v>
          </cell>
          <cell r="I9">
            <v>0</v>
          </cell>
          <cell r="J9">
            <v>0</v>
          </cell>
          <cell r="K9">
            <v>0</v>
          </cell>
          <cell r="L9">
            <v>0</v>
          </cell>
          <cell r="M9">
            <v>0</v>
          </cell>
          <cell r="N9">
            <v>0</v>
          </cell>
          <cell r="O9">
            <v>0</v>
          </cell>
          <cell r="P9">
            <v>0</v>
          </cell>
          <cell r="Q9">
            <v>0</v>
          </cell>
        </row>
        <row r="10">
          <cell r="C10" t="str">
            <v>Uige</v>
          </cell>
          <cell r="D10" t="str">
            <v>IEC materials</v>
          </cell>
          <cell r="E10">
            <v>6720</v>
          </cell>
          <cell r="F10">
            <v>6720</v>
          </cell>
          <cell r="G10">
            <v>0</v>
          </cell>
          <cell r="H10">
            <v>0</v>
          </cell>
          <cell r="I10">
            <v>0</v>
          </cell>
          <cell r="J10">
            <v>0</v>
          </cell>
          <cell r="K10">
            <v>0</v>
          </cell>
          <cell r="L10">
            <v>0</v>
          </cell>
          <cell r="M10">
            <v>0</v>
          </cell>
          <cell r="N10">
            <v>0</v>
          </cell>
          <cell r="O10">
            <v>0</v>
          </cell>
          <cell r="P10">
            <v>0</v>
          </cell>
          <cell r="Q10">
            <v>0</v>
          </cell>
        </row>
        <row r="11">
          <cell r="C11" t="str">
            <v>Zaire</v>
          </cell>
          <cell r="D11" t="str">
            <v>IEC materials</v>
          </cell>
          <cell r="E11">
            <v>0</v>
          </cell>
          <cell r="F11">
            <v>0</v>
          </cell>
          <cell r="G11">
            <v>0</v>
          </cell>
          <cell r="H11">
            <v>0</v>
          </cell>
          <cell r="I11">
            <v>0</v>
          </cell>
          <cell r="J11">
            <v>0</v>
          </cell>
          <cell r="K11">
            <v>0</v>
          </cell>
          <cell r="L11">
            <v>0</v>
          </cell>
          <cell r="M11">
            <v>0</v>
          </cell>
          <cell r="N11">
            <v>0</v>
          </cell>
          <cell r="O11">
            <v>0</v>
          </cell>
          <cell r="P11">
            <v>0</v>
          </cell>
          <cell r="Q11">
            <v>0</v>
          </cell>
        </row>
      </sheetData>
      <sheetData sheetId="6">
        <row r="4">
          <cell r="C4" t="str">
            <v>Huambo</v>
          </cell>
          <cell r="D4" t="str">
            <v>Hygiene kits for schools</v>
          </cell>
          <cell r="E4">
            <v>24075</v>
          </cell>
          <cell r="F4">
            <v>0</v>
          </cell>
          <cell r="G4">
            <v>0</v>
          </cell>
          <cell r="H4">
            <v>2970</v>
          </cell>
          <cell r="I4">
            <v>2295</v>
          </cell>
          <cell r="J4">
            <v>2295</v>
          </cell>
          <cell r="K4">
            <v>10800</v>
          </cell>
          <cell r="L4">
            <v>3330</v>
          </cell>
          <cell r="M4">
            <v>2385</v>
          </cell>
          <cell r="N4">
            <v>0</v>
          </cell>
          <cell r="O4">
            <v>0</v>
          </cell>
          <cell r="P4">
            <v>0</v>
          </cell>
          <cell r="Q4">
            <v>0</v>
          </cell>
        </row>
        <row r="5">
          <cell r="C5" t="str">
            <v>Uige</v>
          </cell>
          <cell r="D5" t="str">
            <v>Hygiene kits for schools</v>
          </cell>
          <cell r="E5">
            <v>22770</v>
          </cell>
          <cell r="F5">
            <v>2655</v>
          </cell>
          <cell r="G5">
            <v>4635</v>
          </cell>
          <cell r="H5">
            <v>0</v>
          </cell>
          <cell r="I5">
            <v>2025</v>
          </cell>
          <cell r="J5">
            <v>2925</v>
          </cell>
          <cell r="K5">
            <v>0</v>
          </cell>
          <cell r="L5">
            <v>2205</v>
          </cell>
          <cell r="M5">
            <v>5355</v>
          </cell>
          <cell r="N5">
            <v>2970</v>
          </cell>
          <cell r="O5">
            <v>0</v>
          </cell>
          <cell r="P5">
            <v>0</v>
          </cell>
          <cell r="Q5">
            <v>0</v>
          </cell>
        </row>
        <row r="6">
          <cell r="C6" t="str">
            <v>Zaire</v>
          </cell>
          <cell r="D6" t="str">
            <v>Hygiene kits for schools</v>
          </cell>
          <cell r="E6">
            <v>0</v>
          </cell>
          <cell r="F6">
            <v>0</v>
          </cell>
          <cell r="G6">
            <v>0</v>
          </cell>
          <cell r="H6">
            <v>0</v>
          </cell>
          <cell r="I6">
            <v>0</v>
          </cell>
          <cell r="J6">
            <v>0</v>
          </cell>
          <cell r="K6">
            <v>0</v>
          </cell>
          <cell r="L6">
            <v>0</v>
          </cell>
          <cell r="M6">
            <v>0</v>
          </cell>
          <cell r="N6">
            <v>0</v>
          </cell>
          <cell r="O6">
            <v>0</v>
          </cell>
          <cell r="P6">
            <v>0</v>
          </cell>
          <cell r="Q6">
            <v>0</v>
          </cell>
        </row>
        <row r="7">
          <cell r="C7" t="str">
            <v>Huambo</v>
          </cell>
          <cell r="D7" t="str">
            <v>Food for PZQ distribution</v>
          </cell>
          <cell r="E7">
            <v>16625</v>
          </cell>
          <cell r="G7">
            <v>16625</v>
          </cell>
        </row>
        <row r="8">
          <cell r="C8" t="str">
            <v>Uige</v>
          </cell>
          <cell r="D8" t="str">
            <v>Food for PZQ distribution</v>
          </cell>
          <cell r="E8">
            <v>6600</v>
          </cell>
          <cell r="K8">
            <v>6600</v>
          </cell>
        </row>
        <row r="9">
          <cell r="C9" t="str">
            <v>Zaire</v>
          </cell>
          <cell r="D9" t="str">
            <v>Food for PZQ distribution</v>
          </cell>
          <cell r="E9">
            <v>2275</v>
          </cell>
          <cell r="I9">
            <v>2275</v>
          </cell>
        </row>
        <row r="10">
          <cell r="C10" t="str">
            <v>Bie</v>
          </cell>
          <cell r="D10" t="str">
            <v>Food for PZQ distribution</v>
          </cell>
          <cell r="E10">
            <v>20000</v>
          </cell>
          <cell r="F10">
            <v>0</v>
          </cell>
          <cell r="G10">
            <v>0</v>
          </cell>
          <cell r="H10">
            <v>0</v>
          </cell>
          <cell r="I10">
            <v>0</v>
          </cell>
          <cell r="J10">
            <v>20000</v>
          </cell>
          <cell r="K10">
            <v>0</v>
          </cell>
          <cell r="L10">
            <v>0</v>
          </cell>
          <cell r="M10">
            <v>0</v>
          </cell>
          <cell r="N10">
            <v>0</v>
          </cell>
          <cell r="O10">
            <v>0</v>
          </cell>
          <cell r="P10">
            <v>0</v>
          </cell>
          <cell r="Q10">
            <v>0</v>
          </cell>
        </row>
      </sheetData>
      <sheetData sheetId="7">
        <row r="4">
          <cell r="C4" t="str">
            <v>Huambo</v>
          </cell>
          <cell r="D4" t="str">
            <v>MDA training</v>
          </cell>
          <cell r="E4">
            <v>4000</v>
          </cell>
          <cell r="F4">
            <v>0</v>
          </cell>
          <cell r="G4">
            <v>4000</v>
          </cell>
          <cell r="H4">
            <v>0</v>
          </cell>
          <cell r="I4">
            <v>0</v>
          </cell>
          <cell r="J4">
            <v>0</v>
          </cell>
          <cell r="K4">
            <v>0</v>
          </cell>
          <cell r="L4">
            <v>0</v>
          </cell>
          <cell r="M4">
            <v>0</v>
          </cell>
          <cell r="N4">
            <v>0</v>
          </cell>
          <cell r="O4">
            <v>0</v>
          </cell>
          <cell r="P4">
            <v>0</v>
          </cell>
          <cell r="Q4">
            <v>0</v>
          </cell>
        </row>
        <row r="5">
          <cell r="C5" t="str">
            <v>Uige</v>
          </cell>
          <cell r="D5" t="str">
            <v>MDA training</v>
          </cell>
          <cell r="E5">
            <v>43750</v>
          </cell>
          <cell r="F5">
            <v>0</v>
          </cell>
          <cell r="G5">
            <v>0</v>
          </cell>
          <cell r="H5">
            <v>6250</v>
          </cell>
          <cell r="I5">
            <v>0</v>
          </cell>
          <cell r="J5">
            <v>0</v>
          </cell>
          <cell r="K5">
            <v>31250</v>
          </cell>
          <cell r="L5">
            <v>0</v>
          </cell>
          <cell r="M5">
            <v>0</v>
          </cell>
          <cell r="N5">
            <v>0</v>
          </cell>
          <cell r="O5">
            <v>0</v>
          </cell>
          <cell r="P5">
            <v>6250</v>
          </cell>
          <cell r="Q5">
            <v>0</v>
          </cell>
        </row>
        <row r="6">
          <cell r="C6" t="str">
            <v>Zaire</v>
          </cell>
          <cell r="D6" t="str">
            <v>MDA training</v>
          </cell>
          <cell r="E6">
            <v>4300</v>
          </cell>
          <cell r="F6">
            <v>0</v>
          </cell>
          <cell r="G6">
            <v>0</v>
          </cell>
          <cell r="H6">
            <v>0</v>
          </cell>
          <cell r="I6">
            <v>4300</v>
          </cell>
          <cell r="J6">
            <v>0</v>
          </cell>
          <cell r="K6">
            <v>0</v>
          </cell>
          <cell r="L6">
            <v>0</v>
          </cell>
          <cell r="M6">
            <v>0</v>
          </cell>
          <cell r="N6">
            <v>0</v>
          </cell>
          <cell r="O6">
            <v>0</v>
          </cell>
          <cell r="P6">
            <v>0</v>
          </cell>
          <cell r="Q6">
            <v>0</v>
          </cell>
        </row>
        <row r="7">
          <cell r="C7" t="str">
            <v>Bie</v>
          </cell>
          <cell r="D7" t="str">
            <v>MDA training</v>
          </cell>
          <cell r="E7">
            <v>5500</v>
          </cell>
          <cell r="F7">
            <v>0</v>
          </cell>
          <cell r="G7">
            <v>0</v>
          </cell>
          <cell r="H7">
            <v>0</v>
          </cell>
          <cell r="I7">
            <v>0</v>
          </cell>
          <cell r="J7">
            <v>5500</v>
          </cell>
          <cell r="K7">
            <v>0</v>
          </cell>
          <cell r="L7">
            <v>0</v>
          </cell>
          <cell r="M7">
            <v>0</v>
          </cell>
          <cell r="N7">
            <v>0</v>
          </cell>
          <cell r="O7">
            <v>0</v>
          </cell>
          <cell r="P7">
            <v>0</v>
          </cell>
          <cell r="Q7">
            <v>0</v>
          </cell>
        </row>
        <row r="8">
          <cell r="C8" t="str">
            <v>Other</v>
          </cell>
          <cell r="D8" t="str">
            <v>MDA training</v>
          </cell>
          <cell r="E8">
            <v>34500</v>
          </cell>
          <cell r="F8">
            <v>0</v>
          </cell>
          <cell r="G8">
            <v>0</v>
          </cell>
          <cell r="H8">
            <v>0</v>
          </cell>
          <cell r="I8">
            <v>29750</v>
          </cell>
          <cell r="J8">
            <v>0</v>
          </cell>
          <cell r="K8">
            <v>0</v>
          </cell>
          <cell r="L8">
            <v>4750</v>
          </cell>
          <cell r="M8">
            <v>0</v>
          </cell>
          <cell r="N8">
            <v>0</v>
          </cell>
          <cell r="O8">
            <v>0</v>
          </cell>
          <cell r="P8">
            <v>0</v>
          </cell>
          <cell r="Q8">
            <v>0</v>
          </cell>
        </row>
        <row r="12">
          <cell r="C12" t="str">
            <v>Huambo</v>
          </cell>
          <cell r="D12" t="str">
            <v>Training HF staff</v>
          </cell>
          <cell r="E12">
            <v>29600</v>
          </cell>
          <cell r="F12">
            <v>0</v>
          </cell>
          <cell r="G12">
            <v>0</v>
          </cell>
          <cell r="H12">
            <v>4800</v>
          </cell>
          <cell r="I12">
            <v>4400</v>
          </cell>
          <cell r="J12">
            <v>3000</v>
          </cell>
          <cell r="K12">
            <v>7100</v>
          </cell>
          <cell r="L12">
            <v>5200</v>
          </cell>
          <cell r="M12">
            <v>5100</v>
          </cell>
          <cell r="N12">
            <v>0</v>
          </cell>
          <cell r="O12">
            <v>0</v>
          </cell>
          <cell r="P12">
            <v>0</v>
          </cell>
          <cell r="Q12">
            <v>0</v>
          </cell>
        </row>
        <row r="13">
          <cell r="C13" t="str">
            <v>Uige</v>
          </cell>
          <cell r="D13" t="str">
            <v>Training HF staff</v>
          </cell>
          <cell r="E13">
            <v>45000</v>
          </cell>
          <cell r="F13">
            <v>4700</v>
          </cell>
          <cell r="G13">
            <v>6400</v>
          </cell>
          <cell r="H13">
            <v>0</v>
          </cell>
          <cell r="I13">
            <v>4700</v>
          </cell>
          <cell r="J13">
            <v>3300</v>
          </cell>
          <cell r="K13">
            <v>0</v>
          </cell>
          <cell r="L13">
            <v>4400</v>
          </cell>
          <cell r="M13">
            <v>4400</v>
          </cell>
          <cell r="N13">
            <v>4700</v>
          </cell>
          <cell r="O13">
            <v>0</v>
          </cell>
          <cell r="P13">
            <v>12400</v>
          </cell>
          <cell r="Q13">
            <v>0</v>
          </cell>
        </row>
        <row r="14">
          <cell r="C14" t="str">
            <v>Zaire</v>
          </cell>
          <cell r="D14" t="str">
            <v>Training HF staff</v>
          </cell>
          <cell r="E14">
            <v>0</v>
          </cell>
          <cell r="F14">
            <v>0</v>
          </cell>
          <cell r="G14">
            <v>0</v>
          </cell>
          <cell r="H14">
            <v>0</v>
          </cell>
          <cell r="I14">
            <v>0</v>
          </cell>
          <cell r="J14">
            <v>0</v>
          </cell>
          <cell r="K14">
            <v>0</v>
          </cell>
          <cell r="L14">
            <v>0</v>
          </cell>
          <cell r="M14">
            <v>0</v>
          </cell>
          <cell r="N14">
            <v>0</v>
          </cell>
          <cell r="O14">
            <v>0</v>
          </cell>
          <cell r="P14">
            <v>0</v>
          </cell>
          <cell r="Q14">
            <v>0</v>
          </cell>
        </row>
        <row r="15">
          <cell r="C15" t="str">
            <v>Huambo</v>
          </cell>
          <cell r="D15" t="str">
            <v>Training teachers</v>
          </cell>
          <cell r="E15">
            <v>65500</v>
          </cell>
          <cell r="F15">
            <v>0</v>
          </cell>
          <cell r="G15">
            <v>0</v>
          </cell>
          <cell r="H15">
            <v>9400</v>
          </cell>
          <cell r="I15">
            <v>8300</v>
          </cell>
          <cell r="J15">
            <v>7300</v>
          </cell>
          <cell r="K15">
            <v>20000</v>
          </cell>
          <cell r="L15">
            <v>12700</v>
          </cell>
          <cell r="M15">
            <v>7800</v>
          </cell>
          <cell r="N15">
            <v>0</v>
          </cell>
          <cell r="O15">
            <v>0</v>
          </cell>
          <cell r="P15">
            <v>0</v>
          </cell>
          <cell r="Q15">
            <v>0</v>
          </cell>
        </row>
        <row r="16">
          <cell r="C16" t="str">
            <v>Uige</v>
          </cell>
          <cell r="D16" t="str">
            <v>Training teachers</v>
          </cell>
          <cell r="E16">
            <v>95400</v>
          </cell>
          <cell r="F16">
            <v>8500</v>
          </cell>
          <cell r="G16">
            <v>17800</v>
          </cell>
          <cell r="H16">
            <v>0</v>
          </cell>
          <cell r="I16">
            <v>9200</v>
          </cell>
          <cell r="J16">
            <v>9100</v>
          </cell>
          <cell r="K16">
            <v>0</v>
          </cell>
          <cell r="L16">
            <v>7300</v>
          </cell>
          <cell r="M16">
            <v>20000</v>
          </cell>
          <cell r="N16">
            <v>11700</v>
          </cell>
          <cell r="O16">
            <v>0</v>
          </cell>
          <cell r="P16">
            <v>11800</v>
          </cell>
          <cell r="Q16">
            <v>0</v>
          </cell>
        </row>
        <row r="17">
          <cell r="C17" t="str">
            <v>Zaire</v>
          </cell>
          <cell r="D17" t="str">
            <v>Training teachers</v>
          </cell>
          <cell r="E17">
            <v>0</v>
          </cell>
          <cell r="F17">
            <v>0</v>
          </cell>
          <cell r="G17">
            <v>0</v>
          </cell>
          <cell r="H17">
            <v>0</v>
          </cell>
          <cell r="I17">
            <v>0</v>
          </cell>
          <cell r="J17">
            <v>0</v>
          </cell>
          <cell r="K17">
            <v>0</v>
          </cell>
          <cell r="L17">
            <v>0</v>
          </cell>
          <cell r="M17">
            <v>0</v>
          </cell>
          <cell r="N17">
            <v>0</v>
          </cell>
          <cell r="O17">
            <v>0</v>
          </cell>
          <cell r="P17">
            <v>0</v>
          </cell>
          <cell r="Q17">
            <v>0</v>
          </cell>
        </row>
        <row r="21">
          <cell r="C21" t="str">
            <v>Luanda</v>
          </cell>
          <cell r="D21" t="str">
            <v>National workshop</v>
          </cell>
          <cell r="E21">
            <v>5000</v>
          </cell>
          <cell r="F21">
            <v>0</v>
          </cell>
          <cell r="G21">
            <v>0</v>
          </cell>
          <cell r="H21">
            <v>0</v>
          </cell>
          <cell r="I21">
            <v>0</v>
          </cell>
          <cell r="J21">
            <v>0</v>
          </cell>
          <cell r="K21">
            <v>5000</v>
          </cell>
          <cell r="L21">
            <v>0</v>
          </cell>
          <cell r="M21">
            <v>0</v>
          </cell>
          <cell r="N21">
            <v>0</v>
          </cell>
          <cell r="O21">
            <v>0</v>
          </cell>
          <cell r="P21">
            <v>0</v>
          </cell>
          <cell r="Q21">
            <v>0</v>
          </cell>
        </row>
        <row r="22">
          <cell r="C22" t="str">
            <v>Central</v>
          </cell>
          <cell r="D22" t="str">
            <v>International conference attendance</v>
          </cell>
          <cell r="E22">
            <v>10500</v>
          </cell>
          <cell r="F22">
            <v>0</v>
          </cell>
          <cell r="G22">
            <v>3500</v>
          </cell>
          <cell r="H22">
            <v>0</v>
          </cell>
          <cell r="I22">
            <v>0</v>
          </cell>
          <cell r="J22">
            <v>3500</v>
          </cell>
          <cell r="K22">
            <v>0</v>
          </cell>
          <cell r="L22">
            <v>0</v>
          </cell>
          <cell r="M22">
            <v>0</v>
          </cell>
          <cell r="N22">
            <v>3500</v>
          </cell>
          <cell r="O22">
            <v>0</v>
          </cell>
          <cell r="P22">
            <v>0</v>
          </cell>
          <cell r="Q22">
            <v>0</v>
          </cell>
        </row>
        <row r="23">
          <cell r="C23" t="str">
            <v>Huambo</v>
          </cell>
          <cell r="D23" t="str">
            <v>Provincial workshop</v>
          </cell>
          <cell r="E23">
            <v>3500</v>
          </cell>
          <cell r="F23">
            <v>0</v>
          </cell>
          <cell r="G23">
            <v>0</v>
          </cell>
          <cell r="H23">
            <v>3500</v>
          </cell>
          <cell r="I23">
            <v>0</v>
          </cell>
          <cell r="J23">
            <v>0</v>
          </cell>
          <cell r="K23">
            <v>0</v>
          </cell>
          <cell r="L23">
            <v>0</v>
          </cell>
          <cell r="M23">
            <v>0</v>
          </cell>
          <cell r="N23">
            <v>0</v>
          </cell>
          <cell r="O23">
            <v>0</v>
          </cell>
          <cell r="P23">
            <v>0</v>
          </cell>
          <cell r="Q23">
            <v>0</v>
          </cell>
        </row>
        <row r="24">
          <cell r="C24" t="str">
            <v>Uige</v>
          </cell>
          <cell r="D24" t="str">
            <v>Provincial workshop</v>
          </cell>
          <cell r="E24">
            <v>3500</v>
          </cell>
          <cell r="F24">
            <v>0</v>
          </cell>
          <cell r="G24">
            <v>0</v>
          </cell>
          <cell r="H24">
            <v>0</v>
          </cell>
          <cell r="I24">
            <v>0</v>
          </cell>
          <cell r="J24">
            <v>0</v>
          </cell>
          <cell r="K24">
            <v>0</v>
          </cell>
          <cell r="L24">
            <v>0</v>
          </cell>
          <cell r="M24">
            <v>3500</v>
          </cell>
          <cell r="N24">
            <v>0</v>
          </cell>
          <cell r="O24">
            <v>0</v>
          </cell>
          <cell r="P24">
            <v>0</v>
          </cell>
          <cell r="Q24">
            <v>0</v>
          </cell>
        </row>
        <row r="25">
          <cell r="C25" t="str">
            <v>Zaire</v>
          </cell>
          <cell r="D25" t="str">
            <v>Provincial workshop</v>
          </cell>
          <cell r="E25">
            <v>0</v>
          </cell>
          <cell r="F25">
            <v>0</v>
          </cell>
          <cell r="G25">
            <v>0</v>
          </cell>
          <cell r="H25">
            <v>0</v>
          </cell>
          <cell r="I25">
            <v>0</v>
          </cell>
          <cell r="J25">
            <v>0</v>
          </cell>
          <cell r="K25">
            <v>0</v>
          </cell>
          <cell r="L25">
            <v>0</v>
          </cell>
          <cell r="M25">
            <v>0</v>
          </cell>
          <cell r="N25">
            <v>0</v>
          </cell>
          <cell r="O25">
            <v>0</v>
          </cell>
          <cell r="P25">
            <v>0</v>
          </cell>
          <cell r="Q25">
            <v>0</v>
          </cell>
        </row>
        <row r="26">
          <cell r="C26" t="str">
            <v>Bie</v>
          </cell>
          <cell r="D26" t="str">
            <v>Provincial workshop</v>
          </cell>
          <cell r="E26">
            <v>3500</v>
          </cell>
          <cell r="F26">
            <v>0</v>
          </cell>
          <cell r="G26">
            <v>0</v>
          </cell>
          <cell r="H26">
            <v>0</v>
          </cell>
          <cell r="I26">
            <v>3500</v>
          </cell>
          <cell r="J26">
            <v>0</v>
          </cell>
          <cell r="K26">
            <v>0</v>
          </cell>
          <cell r="L26">
            <v>0</v>
          </cell>
          <cell r="M26">
            <v>0</v>
          </cell>
          <cell r="N26">
            <v>0</v>
          </cell>
          <cell r="O26">
            <v>0</v>
          </cell>
          <cell r="P26">
            <v>0</v>
          </cell>
          <cell r="Q26">
            <v>0</v>
          </cell>
        </row>
      </sheetData>
      <sheetData sheetId="8">
        <row r="4">
          <cell r="C4" t="str">
            <v>Central</v>
          </cell>
          <cell r="D4" t="str">
            <v>Office &amp; accom furnishings </v>
          </cell>
          <cell r="E4">
            <v>1000</v>
          </cell>
          <cell r="F4">
            <v>1000</v>
          </cell>
          <cell r="G4">
            <v>0</v>
          </cell>
          <cell r="H4">
            <v>0</v>
          </cell>
          <cell r="I4">
            <v>0</v>
          </cell>
          <cell r="J4">
            <v>0</v>
          </cell>
          <cell r="K4">
            <v>0</v>
          </cell>
          <cell r="L4">
            <v>0</v>
          </cell>
          <cell r="M4">
            <v>0</v>
          </cell>
          <cell r="N4">
            <v>0</v>
          </cell>
          <cell r="O4">
            <v>0</v>
          </cell>
          <cell r="P4">
            <v>0</v>
          </cell>
          <cell r="Q4">
            <v>0</v>
          </cell>
        </row>
        <row r="17">
          <cell r="C17" t="str">
            <v>Luanda</v>
          </cell>
          <cell r="D17" t="str">
            <v>Office &amp; accom furnishings </v>
          </cell>
          <cell r="E17">
            <v>1000</v>
          </cell>
          <cell r="F17">
            <v>1000</v>
          </cell>
          <cell r="G17">
            <v>0</v>
          </cell>
          <cell r="H17">
            <v>0</v>
          </cell>
          <cell r="I17">
            <v>0</v>
          </cell>
          <cell r="J17">
            <v>0</v>
          </cell>
          <cell r="K17">
            <v>0</v>
          </cell>
          <cell r="L17">
            <v>0</v>
          </cell>
          <cell r="M17">
            <v>0</v>
          </cell>
          <cell r="N17">
            <v>0</v>
          </cell>
          <cell r="O17">
            <v>0</v>
          </cell>
          <cell r="P17">
            <v>0</v>
          </cell>
          <cell r="Q17">
            <v>0</v>
          </cell>
        </row>
        <row r="30">
          <cell r="C30" t="str">
            <v>Uige</v>
          </cell>
          <cell r="D30" t="str">
            <v>Office &amp; accom furnishings </v>
          </cell>
          <cell r="E30">
            <v>1000</v>
          </cell>
          <cell r="F30">
            <v>1000</v>
          </cell>
          <cell r="G30">
            <v>0</v>
          </cell>
          <cell r="H30">
            <v>0</v>
          </cell>
          <cell r="I30">
            <v>0</v>
          </cell>
          <cell r="J30">
            <v>0</v>
          </cell>
          <cell r="K30">
            <v>0</v>
          </cell>
          <cell r="L30">
            <v>0</v>
          </cell>
          <cell r="M30">
            <v>0</v>
          </cell>
          <cell r="N30">
            <v>0</v>
          </cell>
          <cell r="O30">
            <v>0</v>
          </cell>
          <cell r="P30">
            <v>0</v>
          </cell>
          <cell r="Q30">
            <v>0</v>
          </cell>
        </row>
        <row r="41">
          <cell r="C41" t="str">
            <v>Zaire</v>
          </cell>
          <cell r="D41" t="str">
            <v>Office &amp; accom furnishings </v>
          </cell>
          <cell r="E41">
            <v>500</v>
          </cell>
          <cell r="F41">
            <v>0</v>
          </cell>
          <cell r="G41">
            <v>0</v>
          </cell>
          <cell r="H41">
            <v>0</v>
          </cell>
          <cell r="I41">
            <v>500</v>
          </cell>
          <cell r="J41">
            <v>0</v>
          </cell>
          <cell r="K41">
            <v>0</v>
          </cell>
          <cell r="L41">
            <v>0</v>
          </cell>
          <cell r="M41">
            <v>0</v>
          </cell>
          <cell r="N41">
            <v>0</v>
          </cell>
          <cell r="O41">
            <v>0</v>
          </cell>
          <cell r="P41">
            <v>0</v>
          </cell>
          <cell r="Q41">
            <v>0</v>
          </cell>
        </row>
        <row r="49">
          <cell r="C49" t="str">
            <v>Bie</v>
          </cell>
          <cell r="D49" t="str">
            <v>Office &amp; accom furnishings </v>
          </cell>
          <cell r="E49">
            <v>500</v>
          </cell>
          <cell r="F49">
            <v>500</v>
          </cell>
          <cell r="G49">
            <v>0</v>
          </cell>
          <cell r="I49">
            <v>0</v>
          </cell>
          <cell r="J49">
            <v>0</v>
          </cell>
          <cell r="K49">
            <v>0</v>
          </cell>
          <cell r="L49">
            <v>0</v>
          </cell>
          <cell r="M49">
            <v>0</v>
          </cell>
          <cell r="N49">
            <v>0</v>
          </cell>
          <cell r="O49">
            <v>0</v>
          </cell>
          <cell r="P49">
            <v>0</v>
          </cell>
          <cell r="Q49">
            <v>0</v>
          </cell>
        </row>
        <row r="64">
          <cell r="C64" t="str">
            <v>Central</v>
          </cell>
          <cell r="D64" t="str">
            <v>IT &amp; Comm equipment (all bases)</v>
          </cell>
          <cell r="E64">
            <v>2500</v>
          </cell>
          <cell r="F64">
            <v>2500</v>
          </cell>
          <cell r="H64">
            <v>0</v>
          </cell>
          <cell r="I64">
            <v>0</v>
          </cell>
          <cell r="J64">
            <v>0</v>
          </cell>
          <cell r="K64">
            <v>0</v>
          </cell>
          <cell r="L64">
            <v>0</v>
          </cell>
          <cell r="M64">
            <v>0</v>
          </cell>
          <cell r="N64">
            <v>0</v>
          </cell>
          <cell r="O64">
            <v>0</v>
          </cell>
          <cell r="P64">
            <v>0</v>
          </cell>
          <cell r="Q64">
            <v>0</v>
          </cell>
        </row>
        <row r="86">
          <cell r="C86" t="str">
            <v>Central</v>
          </cell>
          <cell r="D86" t="str">
            <v>Vehicle Insurance and taxes (all)</v>
          </cell>
          <cell r="E86">
            <v>34100</v>
          </cell>
          <cell r="F86">
            <v>0</v>
          </cell>
          <cell r="G86">
            <v>0</v>
          </cell>
          <cell r="H86">
            <v>0</v>
          </cell>
          <cell r="I86">
            <v>0</v>
          </cell>
          <cell r="J86">
            <v>17900</v>
          </cell>
          <cell r="K86">
            <v>16200</v>
          </cell>
          <cell r="L86">
            <v>0</v>
          </cell>
          <cell r="M86">
            <v>0</v>
          </cell>
          <cell r="N86">
            <v>0</v>
          </cell>
          <cell r="O86">
            <v>0</v>
          </cell>
          <cell r="P86">
            <v>0</v>
          </cell>
          <cell r="Q86">
            <v>0</v>
          </cell>
        </row>
        <row r="92">
          <cell r="C92" t="str">
            <v>Central</v>
          </cell>
          <cell r="D92" t="str">
            <v>Vehicle running (Maint, repair, fuel)</v>
          </cell>
          <cell r="E92">
            <v>20350</v>
          </cell>
          <cell r="F92">
            <v>1650</v>
          </cell>
          <cell r="G92">
            <v>1650</v>
          </cell>
          <cell r="H92">
            <v>1650</v>
          </cell>
          <cell r="I92">
            <v>1650</v>
          </cell>
          <cell r="J92">
            <v>1650</v>
          </cell>
          <cell r="K92">
            <v>1650</v>
          </cell>
          <cell r="L92">
            <v>1650</v>
          </cell>
          <cell r="M92">
            <v>1650</v>
          </cell>
          <cell r="N92">
            <v>1650</v>
          </cell>
          <cell r="O92">
            <v>1650</v>
          </cell>
          <cell r="P92">
            <v>1650</v>
          </cell>
          <cell r="Q92">
            <v>2200</v>
          </cell>
        </row>
        <row r="97">
          <cell r="C97" t="str">
            <v>Luanda</v>
          </cell>
          <cell r="D97" t="str">
            <v>Vehicle running (Maint, repair, fuel)</v>
          </cell>
          <cell r="E97">
            <v>3600</v>
          </cell>
          <cell r="F97">
            <v>300</v>
          </cell>
          <cell r="G97">
            <v>300</v>
          </cell>
          <cell r="H97">
            <v>300</v>
          </cell>
          <cell r="I97">
            <v>300</v>
          </cell>
          <cell r="J97">
            <v>300</v>
          </cell>
          <cell r="K97">
            <v>300</v>
          </cell>
          <cell r="L97">
            <v>300</v>
          </cell>
          <cell r="M97">
            <v>300</v>
          </cell>
          <cell r="N97">
            <v>300</v>
          </cell>
          <cell r="O97">
            <v>300</v>
          </cell>
          <cell r="P97">
            <v>300</v>
          </cell>
          <cell r="Q97">
            <v>300</v>
          </cell>
        </row>
        <row r="102">
          <cell r="C102" t="str">
            <v>Uige</v>
          </cell>
          <cell r="D102" t="str">
            <v>Vehicle running (Maint, repair, fuel)</v>
          </cell>
          <cell r="E102">
            <v>19800</v>
          </cell>
          <cell r="F102">
            <v>1650</v>
          </cell>
          <cell r="G102">
            <v>1650</v>
          </cell>
          <cell r="H102">
            <v>1650</v>
          </cell>
          <cell r="I102">
            <v>1650</v>
          </cell>
          <cell r="J102">
            <v>1650</v>
          </cell>
          <cell r="K102">
            <v>1650</v>
          </cell>
          <cell r="L102">
            <v>1650</v>
          </cell>
          <cell r="M102">
            <v>1650</v>
          </cell>
          <cell r="N102">
            <v>1650</v>
          </cell>
          <cell r="O102">
            <v>1650</v>
          </cell>
          <cell r="P102">
            <v>1650</v>
          </cell>
          <cell r="Q102">
            <v>1650</v>
          </cell>
        </row>
        <row r="107">
          <cell r="C107" t="str">
            <v>Zaire</v>
          </cell>
          <cell r="D107" t="str">
            <v>Vehicle running (Maint, repair, fuel)</v>
          </cell>
          <cell r="E107">
            <v>6600</v>
          </cell>
          <cell r="F107">
            <v>550</v>
          </cell>
          <cell r="G107">
            <v>550</v>
          </cell>
          <cell r="H107">
            <v>550</v>
          </cell>
          <cell r="I107">
            <v>550</v>
          </cell>
          <cell r="J107">
            <v>550</v>
          </cell>
          <cell r="K107">
            <v>550</v>
          </cell>
          <cell r="L107">
            <v>550</v>
          </cell>
          <cell r="M107">
            <v>550</v>
          </cell>
          <cell r="N107">
            <v>550</v>
          </cell>
          <cell r="O107">
            <v>550</v>
          </cell>
          <cell r="P107">
            <v>550</v>
          </cell>
          <cell r="Q107">
            <v>550</v>
          </cell>
        </row>
        <row r="112">
          <cell r="C112" t="str">
            <v>Bie</v>
          </cell>
          <cell r="D112" t="str">
            <v>Vehicle running (Maint, repair, fuel)</v>
          </cell>
          <cell r="E112">
            <v>6600</v>
          </cell>
          <cell r="F112">
            <v>550</v>
          </cell>
          <cell r="G112">
            <v>550</v>
          </cell>
          <cell r="H112">
            <v>550</v>
          </cell>
          <cell r="I112">
            <v>550</v>
          </cell>
          <cell r="J112">
            <v>550</v>
          </cell>
          <cell r="K112">
            <v>550</v>
          </cell>
          <cell r="L112">
            <v>550</v>
          </cell>
          <cell r="M112">
            <v>550</v>
          </cell>
          <cell r="N112">
            <v>550</v>
          </cell>
          <cell r="O112">
            <v>550</v>
          </cell>
          <cell r="P112">
            <v>550</v>
          </cell>
          <cell r="Q112">
            <v>550</v>
          </cell>
        </row>
        <row r="118">
          <cell r="C118" t="str">
            <v>Central</v>
          </cell>
          <cell r="D118" t="str">
            <v>Generator running (Maint, repair, fuel)</v>
          </cell>
          <cell r="E118">
            <v>2325</v>
          </cell>
          <cell r="F118">
            <v>150</v>
          </cell>
          <cell r="G118">
            <v>150</v>
          </cell>
          <cell r="H118">
            <v>150</v>
          </cell>
          <cell r="I118">
            <v>150</v>
          </cell>
          <cell r="J118">
            <v>150</v>
          </cell>
          <cell r="K118">
            <v>225</v>
          </cell>
          <cell r="L118">
            <v>225</v>
          </cell>
          <cell r="M118">
            <v>225</v>
          </cell>
          <cell r="N118">
            <v>225</v>
          </cell>
          <cell r="O118">
            <v>225</v>
          </cell>
          <cell r="P118">
            <v>225</v>
          </cell>
          <cell r="Q118">
            <v>225</v>
          </cell>
        </row>
        <row r="123">
          <cell r="C123" t="str">
            <v>Luanda</v>
          </cell>
          <cell r="D123" t="str">
            <v>Generator running (Maint, repair, fuel)</v>
          </cell>
          <cell r="E123">
            <v>1200</v>
          </cell>
          <cell r="F123">
            <v>100</v>
          </cell>
          <cell r="G123">
            <v>100</v>
          </cell>
          <cell r="H123">
            <v>100</v>
          </cell>
          <cell r="I123">
            <v>100</v>
          </cell>
          <cell r="J123">
            <v>100</v>
          </cell>
          <cell r="K123">
            <v>100</v>
          </cell>
          <cell r="L123">
            <v>100</v>
          </cell>
          <cell r="M123">
            <v>100</v>
          </cell>
          <cell r="N123">
            <v>100</v>
          </cell>
          <cell r="O123">
            <v>100</v>
          </cell>
          <cell r="P123">
            <v>100</v>
          </cell>
          <cell r="Q123">
            <v>100</v>
          </cell>
        </row>
        <row r="128">
          <cell r="C128" t="str">
            <v>Uige</v>
          </cell>
          <cell r="D128" t="str">
            <v>Generator running (Maint, repair, fuel)</v>
          </cell>
          <cell r="E128">
            <v>1200</v>
          </cell>
          <cell r="F128">
            <v>100</v>
          </cell>
          <cell r="G128">
            <v>100</v>
          </cell>
          <cell r="H128">
            <v>100</v>
          </cell>
          <cell r="I128">
            <v>100</v>
          </cell>
          <cell r="J128">
            <v>100</v>
          </cell>
          <cell r="K128">
            <v>100</v>
          </cell>
          <cell r="L128">
            <v>100</v>
          </cell>
          <cell r="M128">
            <v>100</v>
          </cell>
          <cell r="N128">
            <v>100</v>
          </cell>
          <cell r="O128">
            <v>100</v>
          </cell>
          <cell r="P128">
            <v>100</v>
          </cell>
          <cell r="Q128">
            <v>100</v>
          </cell>
        </row>
        <row r="133">
          <cell r="C133" t="str">
            <v>Zaire</v>
          </cell>
          <cell r="D133" t="str">
            <v>Generator running (Maint, repair, fuel)</v>
          </cell>
          <cell r="E133">
            <v>600</v>
          </cell>
          <cell r="F133">
            <v>50</v>
          </cell>
          <cell r="G133">
            <v>50</v>
          </cell>
          <cell r="H133">
            <v>50</v>
          </cell>
          <cell r="I133">
            <v>50</v>
          </cell>
          <cell r="J133">
            <v>50</v>
          </cell>
          <cell r="K133">
            <v>50</v>
          </cell>
          <cell r="L133">
            <v>50</v>
          </cell>
          <cell r="M133">
            <v>50</v>
          </cell>
          <cell r="N133">
            <v>50</v>
          </cell>
          <cell r="O133">
            <v>50</v>
          </cell>
          <cell r="P133">
            <v>50</v>
          </cell>
          <cell r="Q133">
            <v>50</v>
          </cell>
        </row>
        <row r="138">
          <cell r="C138" t="str">
            <v>Bie</v>
          </cell>
          <cell r="D138" t="str">
            <v>Generator running (Maint, repair, fuel)</v>
          </cell>
          <cell r="E138">
            <v>1200</v>
          </cell>
          <cell r="F138">
            <v>100</v>
          </cell>
          <cell r="G138">
            <v>100</v>
          </cell>
          <cell r="H138">
            <v>100</v>
          </cell>
          <cell r="I138">
            <v>100</v>
          </cell>
          <cell r="J138">
            <v>100</v>
          </cell>
          <cell r="K138">
            <v>100</v>
          </cell>
          <cell r="L138">
            <v>100</v>
          </cell>
          <cell r="M138">
            <v>100</v>
          </cell>
          <cell r="N138">
            <v>100</v>
          </cell>
          <cell r="O138">
            <v>100</v>
          </cell>
          <cell r="P138">
            <v>100</v>
          </cell>
          <cell r="Q138">
            <v>100</v>
          </cell>
        </row>
        <row r="144">
          <cell r="C144" t="str">
            <v>Central</v>
          </cell>
          <cell r="D144" t="str">
            <v>Vehicle rental (lump sum)</v>
          </cell>
          <cell r="E144">
            <v>6000</v>
          </cell>
          <cell r="F144">
            <v>0</v>
          </cell>
          <cell r="G144">
            <v>0</v>
          </cell>
          <cell r="H144">
            <v>2000</v>
          </cell>
          <cell r="I144">
            <v>2000</v>
          </cell>
          <cell r="J144">
            <v>0</v>
          </cell>
          <cell r="K144">
            <v>0</v>
          </cell>
          <cell r="L144">
            <v>0</v>
          </cell>
          <cell r="M144">
            <v>0</v>
          </cell>
          <cell r="N144">
            <v>0</v>
          </cell>
          <cell r="O144">
            <v>0</v>
          </cell>
          <cell r="P144">
            <v>2000</v>
          </cell>
          <cell r="Q144">
            <v>0</v>
          </cell>
        </row>
      </sheetData>
      <sheetData sheetId="9">
        <row r="5">
          <cell r="C5" t="str">
            <v>Huambo</v>
          </cell>
          <cell r="D5" t="str">
            <v>Post training supervisions</v>
          </cell>
          <cell r="E5">
            <v>2400</v>
          </cell>
          <cell r="F5">
            <v>0</v>
          </cell>
          <cell r="G5">
            <v>0</v>
          </cell>
          <cell r="H5">
            <v>0</v>
          </cell>
          <cell r="I5">
            <v>0</v>
          </cell>
          <cell r="J5">
            <v>600</v>
          </cell>
          <cell r="K5">
            <v>0</v>
          </cell>
          <cell r="L5">
            <v>400</v>
          </cell>
          <cell r="M5">
            <v>600</v>
          </cell>
          <cell r="N5">
            <v>400</v>
          </cell>
          <cell r="O5">
            <v>400</v>
          </cell>
          <cell r="P5">
            <v>0</v>
          </cell>
          <cell r="Q5">
            <v>0</v>
          </cell>
        </row>
        <row r="6">
          <cell r="C6" t="str">
            <v>Uige</v>
          </cell>
          <cell r="D6" t="str">
            <v>Post training supervisions</v>
          </cell>
          <cell r="E6">
            <v>44000</v>
          </cell>
          <cell r="F6">
            <v>0</v>
          </cell>
          <cell r="G6">
            <v>1600</v>
          </cell>
          <cell r="H6">
            <v>6800</v>
          </cell>
          <cell r="I6">
            <v>0</v>
          </cell>
          <cell r="J6">
            <v>6800</v>
          </cell>
          <cell r="K6">
            <v>1600</v>
          </cell>
          <cell r="L6">
            <v>0</v>
          </cell>
          <cell r="M6">
            <v>6800</v>
          </cell>
          <cell r="N6">
            <v>6800</v>
          </cell>
          <cell r="O6">
            <v>6800</v>
          </cell>
          <cell r="P6">
            <v>0</v>
          </cell>
          <cell r="Q6">
            <v>6800</v>
          </cell>
        </row>
        <row r="7">
          <cell r="C7" t="str">
            <v>Zaire</v>
          </cell>
          <cell r="D7" t="str">
            <v>Post training supervisions</v>
          </cell>
          <cell r="E7">
            <v>0</v>
          </cell>
          <cell r="F7">
            <v>0</v>
          </cell>
          <cell r="G7">
            <v>0</v>
          </cell>
          <cell r="H7">
            <v>0</v>
          </cell>
          <cell r="I7">
            <v>0</v>
          </cell>
          <cell r="J7">
            <v>0</v>
          </cell>
          <cell r="K7">
            <v>0</v>
          </cell>
          <cell r="L7">
            <v>0</v>
          </cell>
          <cell r="M7">
            <v>0</v>
          </cell>
          <cell r="N7">
            <v>0</v>
          </cell>
          <cell r="O7">
            <v>0</v>
          </cell>
          <cell r="P7">
            <v>0</v>
          </cell>
          <cell r="Q7">
            <v>0</v>
          </cell>
        </row>
        <row r="8">
          <cell r="C8" t="str">
            <v>Huambo</v>
          </cell>
          <cell r="D8" t="str">
            <v>MDA supervisions</v>
          </cell>
          <cell r="E8">
            <v>9500</v>
          </cell>
          <cell r="F8">
            <v>0</v>
          </cell>
          <cell r="G8">
            <v>9500</v>
          </cell>
          <cell r="H8">
            <v>0</v>
          </cell>
          <cell r="I8">
            <v>0</v>
          </cell>
          <cell r="J8">
            <v>0</v>
          </cell>
          <cell r="K8">
            <v>0</v>
          </cell>
          <cell r="L8">
            <v>0</v>
          </cell>
          <cell r="M8">
            <v>0</v>
          </cell>
          <cell r="N8">
            <v>0</v>
          </cell>
          <cell r="O8">
            <v>0</v>
          </cell>
          <cell r="P8">
            <v>0</v>
          </cell>
          <cell r="Q8">
            <v>0</v>
          </cell>
        </row>
        <row r="9">
          <cell r="C9" t="str">
            <v>Uige</v>
          </cell>
          <cell r="D9" t="str">
            <v>MDA supervisions</v>
          </cell>
          <cell r="E9">
            <v>28500</v>
          </cell>
          <cell r="F9">
            <v>0</v>
          </cell>
          <cell r="G9">
            <v>0</v>
          </cell>
          <cell r="H9">
            <v>9500</v>
          </cell>
          <cell r="I9">
            <v>0</v>
          </cell>
          <cell r="J9">
            <v>0</v>
          </cell>
          <cell r="K9">
            <v>9500</v>
          </cell>
          <cell r="L9">
            <v>0</v>
          </cell>
          <cell r="M9">
            <v>0</v>
          </cell>
          <cell r="N9">
            <v>0</v>
          </cell>
          <cell r="O9">
            <v>0</v>
          </cell>
          <cell r="P9">
            <v>9500</v>
          </cell>
          <cell r="Q9">
            <v>0</v>
          </cell>
        </row>
        <row r="10">
          <cell r="C10" t="str">
            <v>Zaire</v>
          </cell>
          <cell r="D10" t="str">
            <v>MDA supervisions</v>
          </cell>
          <cell r="E10">
            <v>8600</v>
          </cell>
          <cell r="F10">
            <v>0</v>
          </cell>
          <cell r="G10">
            <v>0</v>
          </cell>
          <cell r="H10">
            <v>0</v>
          </cell>
          <cell r="I10">
            <v>8600</v>
          </cell>
          <cell r="J10">
            <v>0</v>
          </cell>
          <cell r="K10">
            <v>0</v>
          </cell>
          <cell r="L10">
            <v>0</v>
          </cell>
          <cell r="M10">
            <v>0</v>
          </cell>
          <cell r="N10">
            <v>0</v>
          </cell>
          <cell r="O10">
            <v>0</v>
          </cell>
          <cell r="P10">
            <v>0</v>
          </cell>
          <cell r="Q10">
            <v>0</v>
          </cell>
        </row>
        <row r="11">
          <cell r="C11" t="str">
            <v>Bie</v>
          </cell>
          <cell r="D11" t="str">
            <v>MDA supervisions</v>
          </cell>
          <cell r="E11">
            <v>8875</v>
          </cell>
          <cell r="F11">
            <v>0</v>
          </cell>
          <cell r="G11">
            <v>0</v>
          </cell>
          <cell r="H11">
            <v>0</v>
          </cell>
          <cell r="I11">
            <v>0</v>
          </cell>
          <cell r="J11">
            <v>8875</v>
          </cell>
          <cell r="K11">
            <v>0</v>
          </cell>
          <cell r="L11">
            <v>0</v>
          </cell>
          <cell r="M11">
            <v>0</v>
          </cell>
          <cell r="N11">
            <v>0</v>
          </cell>
          <cell r="O11">
            <v>0</v>
          </cell>
          <cell r="P11">
            <v>0</v>
          </cell>
          <cell r="Q11">
            <v>0</v>
          </cell>
        </row>
        <row r="12">
          <cell r="C12" t="str">
            <v>Other</v>
          </cell>
          <cell r="D12" t="str">
            <v>MDA supervisions</v>
          </cell>
          <cell r="E12">
            <v>30500</v>
          </cell>
          <cell r="F12">
            <v>0</v>
          </cell>
          <cell r="G12">
            <v>0</v>
          </cell>
          <cell r="H12">
            <v>0</v>
          </cell>
          <cell r="I12">
            <v>15250</v>
          </cell>
          <cell r="J12">
            <v>0</v>
          </cell>
          <cell r="K12">
            <v>0</v>
          </cell>
          <cell r="L12">
            <v>15250</v>
          </cell>
          <cell r="M12">
            <v>0</v>
          </cell>
          <cell r="N12">
            <v>0</v>
          </cell>
          <cell r="O12">
            <v>0</v>
          </cell>
          <cell r="P12">
            <v>0</v>
          </cell>
          <cell r="Q12">
            <v>0</v>
          </cell>
        </row>
      </sheetData>
      <sheetData sheetId="10">
        <row r="3">
          <cell r="C3" t="str">
            <v>Central</v>
          </cell>
          <cell r="D3" t="str">
            <v>Extra medicines (lumpsum)</v>
          </cell>
          <cell r="E3">
            <v>33000</v>
          </cell>
          <cell r="F3">
            <v>0</v>
          </cell>
          <cell r="G3">
            <v>0</v>
          </cell>
          <cell r="H3">
            <v>0</v>
          </cell>
          <cell r="I3">
            <v>0</v>
          </cell>
          <cell r="J3">
            <v>33000</v>
          </cell>
          <cell r="K3">
            <v>0</v>
          </cell>
          <cell r="L3">
            <v>0</v>
          </cell>
          <cell r="M3">
            <v>0</v>
          </cell>
          <cell r="N3">
            <v>0</v>
          </cell>
          <cell r="O3">
            <v>0</v>
          </cell>
          <cell r="P3">
            <v>0</v>
          </cell>
          <cell r="Q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F Bdg cat"/>
      <sheetName val="Master"/>
      <sheetName val="HR "/>
      <sheetName val="TA"/>
      <sheetName val="P&amp;A"/>
      <sheetName val="Com"/>
      <sheetName val="Benef"/>
      <sheetName val="Training"/>
      <sheetName val="I&amp;E"/>
      <sheetName val="Meds"/>
      <sheetName val="M&amp;E"/>
      <sheetName val="MDA"/>
      <sheetName val="Cost share"/>
    </sheetNames>
    <sheetDataSet>
      <sheetData sheetId="1">
        <row r="121">
          <cell r="E121">
            <v>2323291.069</v>
          </cell>
        </row>
      </sheetData>
      <sheetData sheetId="2">
        <row r="4">
          <cell r="C4" t="str">
            <v>International</v>
          </cell>
          <cell r="D4" t="str">
            <v>Country Director + National NTD Coordinator 50%</v>
          </cell>
          <cell r="E4">
            <v>25800</v>
          </cell>
        </row>
        <row r="5">
          <cell r="C5" t="str">
            <v>International</v>
          </cell>
          <cell r="D5" t="str">
            <v>Coordinator Finance &amp; Adm 50%</v>
          </cell>
          <cell r="E5">
            <v>24000</v>
          </cell>
        </row>
        <row r="6">
          <cell r="C6" t="str">
            <v>International</v>
          </cell>
          <cell r="D6" t="str">
            <v>Coordinator WASHE</v>
          </cell>
          <cell r="E6">
            <v>45600</v>
          </cell>
        </row>
        <row r="7">
          <cell r="C7" t="str">
            <v>International</v>
          </cell>
          <cell r="D7" t="str">
            <v>M&amp;E Coordinator</v>
          </cell>
          <cell r="E7">
            <v>41800</v>
          </cell>
        </row>
        <row r="8">
          <cell r="C8" t="str">
            <v>International</v>
          </cell>
          <cell r="D8" t="str">
            <v>Partnership Coordinator / Technical Assistant (Luanda)</v>
          </cell>
          <cell r="E8">
            <v>46000</v>
          </cell>
        </row>
        <row r="9">
          <cell r="C9" t="str">
            <v>International</v>
          </cell>
          <cell r="D9" t="str">
            <v>Programme Coordinator (Zaire / Kuanza Sul)</v>
          </cell>
          <cell r="E9">
            <v>42000</v>
          </cell>
        </row>
        <row r="10">
          <cell r="C10" t="str">
            <v>International</v>
          </cell>
          <cell r="D10" t="str">
            <v>Programme Coordinator (Uige) </v>
          </cell>
          <cell r="E10">
            <v>45600</v>
          </cell>
        </row>
        <row r="11">
          <cell r="C11" t="str">
            <v>International</v>
          </cell>
        </row>
        <row r="20">
          <cell r="D20" t="str">
            <v>International staff - Fringe benefits </v>
          </cell>
          <cell r="E20">
            <v>21700</v>
          </cell>
        </row>
        <row r="26">
          <cell r="D26" t="str">
            <v>International staff - Fringe benefits in-country</v>
          </cell>
          <cell r="E26">
            <v>71948.75</v>
          </cell>
        </row>
        <row r="40">
          <cell r="C40" t="str">
            <v>Central </v>
          </cell>
          <cell r="D40" t="str">
            <v>National staff  M&amp;A Central</v>
          </cell>
          <cell r="E40">
            <v>69030</v>
          </cell>
        </row>
        <row r="49">
          <cell r="C49" t="str">
            <v>Central </v>
          </cell>
          <cell r="D49" t="str">
            <v>National staff  M&amp;A Central</v>
          </cell>
          <cell r="E49">
            <v>22800</v>
          </cell>
        </row>
        <row r="59">
          <cell r="C59" t="str">
            <v>Luanda</v>
          </cell>
          <cell r="D59" t="str">
            <v>National staff - Management &amp; Admin Luanda</v>
          </cell>
          <cell r="E59">
            <v>18059.04</v>
          </cell>
        </row>
        <row r="70">
          <cell r="C70" t="str">
            <v>Huambo</v>
          </cell>
          <cell r="D70" t="str">
            <v>National staff - Capacity Building Huambo</v>
          </cell>
          <cell r="E70">
            <v>41040</v>
          </cell>
        </row>
        <row r="81">
          <cell r="C81" t="str">
            <v>Huambo</v>
          </cell>
          <cell r="D81" t="str">
            <v>National staff - Management &amp; Admin Huambo</v>
          </cell>
          <cell r="E81">
            <v>44830</v>
          </cell>
        </row>
        <row r="91">
          <cell r="C91" t="str">
            <v>Huambo</v>
          </cell>
          <cell r="D91" t="str">
            <v>National staff - WASHE Huambo</v>
          </cell>
          <cell r="E91">
            <v>28120</v>
          </cell>
        </row>
        <row r="103">
          <cell r="C103" t="str">
            <v>Uige</v>
          </cell>
          <cell r="D103" t="str">
            <v>National staff - Capacity Building Uige</v>
          </cell>
          <cell r="E103">
            <v>91960</v>
          </cell>
        </row>
        <row r="115">
          <cell r="C115" t="str">
            <v>Uige</v>
          </cell>
          <cell r="D115" t="str">
            <v>National staff - Management &amp; Admin Uige</v>
          </cell>
          <cell r="E115">
            <v>29260</v>
          </cell>
        </row>
        <row r="125">
          <cell r="C125" t="str">
            <v>Uige</v>
          </cell>
          <cell r="D125" t="str">
            <v>National staff - WASHE Uige</v>
          </cell>
          <cell r="E125">
            <v>28120</v>
          </cell>
        </row>
        <row r="137">
          <cell r="C137" t="str">
            <v>Zaire</v>
          </cell>
          <cell r="D137" t="str">
            <v>National staff - Capacity Building Zaire</v>
          </cell>
          <cell r="E137">
            <v>46360</v>
          </cell>
        </row>
        <row r="149">
          <cell r="C149" t="str">
            <v>Zaire</v>
          </cell>
          <cell r="D149" t="str">
            <v>National staff - Management &amp; Admin Zaire</v>
          </cell>
          <cell r="E149">
            <v>26790</v>
          </cell>
        </row>
        <row r="159">
          <cell r="C159" t="str">
            <v>Zaire</v>
          </cell>
          <cell r="D159" t="str">
            <v>National staff - WASHE Zaire</v>
          </cell>
          <cell r="E159">
            <v>28120</v>
          </cell>
        </row>
        <row r="171">
          <cell r="C171" t="str">
            <v>Bie</v>
          </cell>
          <cell r="D171" t="str">
            <v>National staff - Capacity Building Bie </v>
          </cell>
          <cell r="E171">
            <v>79040</v>
          </cell>
        </row>
      </sheetData>
      <sheetData sheetId="3">
        <row r="4">
          <cell r="C4" t="str">
            <v>International</v>
          </cell>
          <cell r="D4" t="str">
            <v>Consultants (short term assignments)</v>
          </cell>
          <cell r="E4">
            <v>11250</v>
          </cell>
        </row>
        <row r="12">
          <cell r="C12" t="str">
            <v>Luanda</v>
          </cell>
          <cell r="D12" t="str">
            <v>Subsidy to MoH NTD staff / Consultants</v>
          </cell>
          <cell r="E12">
            <v>54000</v>
          </cell>
        </row>
        <row r="16">
          <cell r="C16" t="str">
            <v>Central</v>
          </cell>
          <cell r="D16" t="str">
            <v>Daily labor (e.g. replacement guards, drivers, etc.)</v>
          </cell>
          <cell r="E16">
            <v>3600</v>
          </cell>
        </row>
        <row r="17">
          <cell r="C17" t="str">
            <v>Luanda</v>
          </cell>
          <cell r="D17" t="str">
            <v>Daily labor (e.g replacement driver, repairs, etc.)</v>
          </cell>
          <cell r="E17">
            <v>1200</v>
          </cell>
        </row>
        <row r="18">
          <cell r="C18" t="str">
            <v>Uige</v>
          </cell>
          <cell r="D18" t="str">
            <v>Daily labor (e.g. replacement guards, drivers, etc. )</v>
          </cell>
          <cell r="E18">
            <v>2400</v>
          </cell>
        </row>
        <row r="19">
          <cell r="C19" t="str">
            <v>Zaire</v>
          </cell>
          <cell r="D19" t="str">
            <v>Daily labor (e.g. replacement guards, drivers, etc. )</v>
          </cell>
          <cell r="E19">
            <v>1800</v>
          </cell>
        </row>
        <row r="20">
          <cell r="C20" t="str">
            <v>Bie</v>
          </cell>
          <cell r="D20" t="str">
            <v>Daily labor (e.g. replacement guards, drivers, etc. )</v>
          </cell>
          <cell r="E20">
            <v>1200</v>
          </cell>
        </row>
      </sheetData>
      <sheetData sheetId="4">
        <row r="4">
          <cell r="C4" t="str">
            <v>Central</v>
          </cell>
        </row>
        <row r="9">
          <cell r="D9" t="str">
            <v>Rent Office &amp; staff accom</v>
          </cell>
          <cell r="E9">
            <v>132900</v>
          </cell>
        </row>
        <row r="13">
          <cell r="C13" t="str">
            <v>Central</v>
          </cell>
          <cell r="D13" t="str">
            <v>Office &amp; accom running (utilities, stationary, communication, bank fees, representation, etc)</v>
          </cell>
          <cell r="E13">
            <v>12000</v>
          </cell>
        </row>
        <row r="14">
          <cell r="C14" t="str">
            <v>Luanda</v>
          </cell>
          <cell r="D14" t="str">
            <v>Office &amp; accom running (utilities, stationary, communication, bank fees, etc)</v>
          </cell>
          <cell r="E14">
            <v>4800</v>
          </cell>
        </row>
        <row r="15">
          <cell r="C15" t="str">
            <v>Uige</v>
          </cell>
          <cell r="D15" t="str">
            <v>Office &amp; accom running (utilities, stationary, communication, bank fees, etc)</v>
          </cell>
          <cell r="E15">
            <v>7200</v>
          </cell>
        </row>
        <row r="16">
          <cell r="C16" t="str">
            <v>Zaire</v>
          </cell>
          <cell r="D16" t="str">
            <v>Office &amp; accom running (utilities, stationary, communication, bank fees, etc)</v>
          </cell>
          <cell r="E16">
            <v>6000</v>
          </cell>
        </row>
        <row r="17">
          <cell r="C17" t="str">
            <v>Bie</v>
          </cell>
          <cell r="D17" t="str">
            <v>Office &amp; accom running (utilities, stationary, communication, bank fees, etc)</v>
          </cell>
          <cell r="E17">
            <v>4000</v>
          </cell>
        </row>
        <row r="21">
          <cell r="C21" t="str">
            <v>Central</v>
          </cell>
          <cell r="D21" t="str">
            <v>National travel </v>
          </cell>
          <cell r="E21">
            <v>9600</v>
          </cell>
        </row>
        <row r="22">
          <cell r="C22" t="str">
            <v>Central</v>
          </cell>
          <cell r="D22" t="str">
            <v>Translations &amp; legal fees </v>
          </cell>
          <cell r="E22">
            <v>3000</v>
          </cell>
        </row>
        <row r="23">
          <cell r="C23" t="str">
            <v>Central</v>
          </cell>
          <cell r="D23" t="str">
            <v>Mid term F&amp;A evaluation</v>
          </cell>
          <cell r="E23">
            <v>7500</v>
          </cell>
        </row>
        <row r="24">
          <cell r="C24" t="str">
            <v>International</v>
          </cell>
          <cell r="D24" t="str">
            <v>Audit fees</v>
          </cell>
          <cell r="E24">
            <v>7500</v>
          </cell>
        </row>
        <row r="28">
          <cell r="C28" t="str">
            <v>Huambo</v>
          </cell>
          <cell r="D28" t="str">
            <v>staff travel &amp; accommodation</v>
          </cell>
          <cell r="E28">
            <v>6000</v>
          </cell>
        </row>
        <row r="29">
          <cell r="C29" t="str">
            <v>Uige</v>
          </cell>
          <cell r="D29" t="str">
            <v>staff travel &amp; accommodation</v>
          </cell>
          <cell r="E29">
            <v>3000</v>
          </cell>
        </row>
        <row r="30">
          <cell r="C30" t="str">
            <v>Zaire</v>
          </cell>
          <cell r="D30" t="str">
            <v>staff travel &amp; accommodation</v>
          </cell>
          <cell r="E30">
            <v>3000</v>
          </cell>
        </row>
        <row r="31">
          <cell r="C31" t="str">
            <v>Bie</v>
          </cell>
          <cell r="D31" t="str">
            <v>staff travel &amp; accommodation</v>
          </cell>
          <cell r="E31">
            <v>3000</v>
          </cell>
        </row>
      </sheetData>
      <sheetData sheetId="5">
        <row r="4">
          <cell r="C4" t="str">
            <v>Huambo</v>
          </cell>
          <cell r="D4" t="str">
            <v>Advocacy &amp; mobilization</v>
          </cell>
          <cell r="E4">
            <v>1500</v>
          </cell>
        </row>
        <row r="5">
          <cell r="C5" t="str">
            <v>Uige</v>
          </cell>
          <cell r="D5" t="str">
            <v>Advocacy &amp; mobilization</v>
          </cell>
          <cell r="E5">
            <v>4500</v>
          </cell>
        </row>
        <row r="6">
          <cell r="C6" t="str">
            <v>Zaire</v>
          </cell>
          <cell r="D6" t="str">
            <v>Advocacy &amp; mobilization</v>
          </cell>
          <cell r="E6">
            <v>1500</v>
          </cell>
        </row>
        <row r="7">
          <cell r="C7" t="str">
            <v>Bie</v>
          </cell>
          <cell r="D7" t="str">
            <v>Advocacy &amp; mobilization</v>
          </cell>
          <cell r="E7">
            <v>1500</v>
          </cell>
        </row>
        <row r="8">
          <cell r="C8" t="str">
            <v>Other</v>
          </cell>
          <cell r="D8" t="str">
            <v>Advocacy &amp; mobilization</v>
          </cell>
          <cell r="E8">
            <v>3000</v>
          </cell>
        </row>
        <row r="9">
          <cell r="C9" t="str">
            <v>Huambo</v>
          </cell>
          <cell r="D9" t="str">
            <v>IEC materials</v>
          </cell>
          <cell r="E9">
            <v>7830</v>
          </cell>
        </row>
        <row r="10">
          <cell r="C10" t="str">
            <v>Uige</v>
          </cell>
          <cell r="D10" t="str">
            <v>IEC materials</v>
          </cell>
          <cell r="E10">
            <v>6720</v>
          </cell>
        </row>
        <row r="11">
          <cell r="C11" t="str">
            <v>Zaire</v>
          </cell>
          <cell r="D11" t="str">
            <v>IEC materials</v>
          </cell>
          <cell r="E11">
            <v>3750</v>
          </cell>
        </row>
      </sheetData>
      <sheetData sheetId="6">
        <row r="4">
          <cell r="C4" t="str">
            <v>Huambo</v>
          </cell>
          <cell r="D4" t="str">
            <v>Hygiene kits for schools</v>
          </cell>
          <cell r="E4">
            <v>35865</v>
          </cell>
        </row>
        <row r="5">
          <cell r="C5" t="str">
            <v>Uige</v>
          </cell>
          <cell r="D5" t="str">
            <v>Hygiene kits for schools</v>
          </cell>
          <cell r="E5">
            <v>22005</v>
          </cell>
        </row>
        <row r="6">
          <cell r="C6" t="str">
            <v>Zaire</v>
          </cell>
          <cell r="D6" t="str">
            <v>Hygiene kits for schools</v>
          </cell>
          <cell r="E6">
            <v>11610</v>
          </cell>
        </row>
        <row r="7">
          <cell r="D7" t="str">
            <v>Food for PZQ distribution</v>
          </cell>
          <cell r="E7">
            <v>16625</v>
          </cell>
        </row>
        <row r="8">
          <cell r="E8">
            <v>6600</v>
          </cell>
        </row>
        <row r="9">
          <cell r="C9" t="str">
            <v>Zaire</v>
          </cell>
          <cell r="D9" t="str">
            <v>Food for PZQ distribution</v>
          </cell>
          <cell r="E9">
            <v>2275</v>
          </cell>
        </row>
        <row r="10">
          <cell r="D10" t="str">
            <v>Food for PZQ distribution</v>
          </cell>
          <cell r="E10">
            <v>20000</v>
          </cell>
        </row>
      </sheetData>
      <sheetData sheetId="7">
        <row r="4">
          <cell r="C4" t="str">
            <v>Huambo</v>
          </cell>
          <cell r="D4" t="str">
            <v>MDA training</v>
          </cell>
          <cell r="E4">
            <v>4000</v>
          </cell>
        </row>
        <row r="5">
          <cell r="C5" t="str">
            <v>Uige</v>
          </cell>
          <cell r="D5" t="str">
            <v>MDA training</v>
          </cell>
          <cell r="E5">
            <v>43750</v>
          </cell>
        </row>
        <row r="6">
          <cell r="C6" t="str">
            <v>Zaire</v>
          </cell>
          <cell r="D6" t="str">
            <v>MDA training</v>
          </cell>
          <cell r="E6">
            <v>4300</v>
          </cell>
        </row>
        <row r="7">
          <cell r="C7" t="str">
            <v>Bie</v>
          </cell>
          <cell r="D7" t="str">
            <v>MDA training</v>
          </cell>
          <cell r="E7">
            <v>5500</v>
          </cell>
        </row>
        <row r="8">
          <cell r="C8" t="str">
            <v>Other</v>
          </cell>
          <cell r="D8" t="str">
            <v>MDA training</v>
          </cell>
          <cell r="E8">
            <v>34500</v>
          </cell>
        </row>
        <row r="12">
          <cell r="C12" t="str">
            <v>Huambo</v>
          </cell>
          <cell r="D12" t="str">
            <v>Training HF staff</v>
          </cell>
          <cell r="E12">
            <v>24900</v>
          </cell>
        </row>
        <row r="13">
          <cell r="C13" t="str">
            <v>Uige</v>
          </cell>
          <cell r="D13" t="str">
            <v>Training HF staff</v>
          </cell>
          <cell r="E13">
            <v>40850</v>
          </cell>
        </row>
        <row r="14">
          <cell r="C14" t="str">
            <v>Zaire</v>
          </cell>
          <cell r="D14" t="str">
            <v>Training HF staff</v>
          </cell>
          <cell r="E14">
            <v>29000</v>
          </cell>
        </row>
        <row r="15">
          <cell r="C15" t="str">
            <v>Huambo</v>
          </cell>
          <cell r="D15" t="str">
            <v>Training teachers</v>
          </cell>
          <cell r="E15">
            <v>83200</v>
          </cell>
        </row>
        <row r="16">
          <cell r="C16" t="str">
            <v>Uige</v>
          </cell>
          <cell r="D16" t="str">
            <v>Training teachers</v>
          </cell>
          <cell r="E16">
            <v>82700</v>
          </cell>
        </row>
        <row r="17">
          <cell r="C17" t="str">
            <v>Zaire</v>
          </cell>
          <cell r="D17" t="str">
            <v>Training teachers</v>
          </cell>
          <cell r="E17">
            <v>49900</v>
          </cell>
        </row>
      </sheetData>
      <sheetData sheetId="8">
        <row r="4">
          <cell r="C4" t="str">
            <v>Central</v>
          </cell>
          <cell r="D4" t="str">
            <v>Office &amp; accom furnishings </v>
          </cell>
          <cell r="E4">
            <v>4775</v>
          </cell>
        </row>
        <row r="17">
          <cell r="C17" t="str">
            <v>Luanda</v>
          </cell>
          <cell r="D17" t="str">
            <v>Office &amp; accom furnishings </v>
          </cell>
          <cell r="E17">
            <v>5300</v>
          </cell>
        </row>
        <row r="30">
          <cell r="C30" t="str">
            <v>Uige</v>
          </cell>
          <cell r="D30" t="str">
            <v>Office &amp; accom furnishings </v>
          </cell>
          <cell r="E30">
            <v>4450</v>
          </cell>
        </row>
        <row r="41">
          <cell r="C41" t="str">
            <v>Zaire</v>
          </cell>
          <cell r="D41" t="str">
            <v>Office &amp; accom furnishings </v>
          </cell>
          <cell r="E41">
            <v>500</v>
          </cell>
        </row>
        <row r="49">
          <cell r="C49" t="str">
            <v>Bie</v>
          </cell>
          <cell r="D49" t="str">
            <v>Office &amp; accom furnishings </v>
          </cell>
          <cell r="E49">
            <v>2250</v>
          </cell>
        </row>
        <row r="64">
          <cell r="C64" t="str">
            <v>Central</v>
          </cell>
          <cell r="D64" t="str">
            <v>IT &amp; Comm equipment (all bases)</v>
          </cell>
          <cell r="E64">
            <v>6000</v>
          </cell>
        </row>
        <row r="87">
          <cell r="C87" t="str">
            <v>Central</v>
          </cell>
          <cell r="D87" t="str">
            <v>Vehicle Insurance and taxes (all)</v>
          </cell>
          <cell r="E87">
            <v>34100</v>
          </cell>
        </row>
        <row r="93">
          <cell r="C93" t="str">
            <v>Central</v>
          </cell>
          <cell r="D93" t="str">
            <v>Vehicle running (Maint, repair, fuel)</v>
          </cell>
          <cell r="E93">
            <v>23100</v>
          </cell>
        </row>
        <row r="98">
          <cell r="C98" t="str">
            <v>Luanda</v>
          </cell>
          <cell r="D98" t="str">
            <v>Vehicle running (Maint, repair, fuel)</v>
          </cell>
          <cell r="E98">
            <v>3600</v>
          </cell>
        </row>
        <row r="103">
          <cell r="C103" t="str">
            <v>Uige</v>
          </cell>
          <cell r="D103" t="str">
            <v>Vehicle running (Maint, repair, fuel)</v>
          </cell>
          <cell r="E103">
            <v>23400</v>
          </cell>
        </row>
        <row r="108">
          <cell r="C108" t="str">
            <v>Zaire</v>
          </cell>
          <cell r="D108" t="str">
            <v>Vehicle running (Maint, repair, fuel)</v>
          </cell>
          <cell r="E108">
            <v>14250</v>
          </cell>
        </row>
        <row r="113">
          <cell r="C113" t="str">
            <v>Bie</v>
          </cell>
          <cell r="D113" t="str">
            <v>Vehicle running (Maint, repair, fuel)</v>
          </cell>
          <cell r="E113">
            <v>7650</v>
          </cell>
        </row>
        <row r="119">
          <cell r="C119" t="str">
            <v>Central</v>
          </cell>
          <cell r="D119" t="str">
            <v>Generator running (Maint, repair, fuel)</v>
          </cell>
          <cell r="E119">
            <v>2325</v>
          </cell>
        </row>
        <row r="124">
          <cell r="C124" t="str">
            <v>Luanda</v>
          </cell>
          <cell r="D124" t="str">
            <v>Generator running (Maint, repair, fuel)</v>
          </cell>
          <cell r="E124">
            <v>1200</v>
          </cell>
        </row>
        <row r="129">
          <cell r="C129" t="str">
            <v>Uige</v>
          </cell>
          <cell r="D129" t="str">
            <v>Generator running (Maint, repair, fuel)</v>
          </cell>
          <cell r="E129">
            <v>1200</v>
          </cell>
        </row>
        <row r="134">
          <cell r="C134" t="str">
            <v>Zaire</v>
          </cell>
          <cell r="D134" t="str">
            <v>Generator running (Maint, repair, fuel)</v>
          </cell>
          <cell r="E134">
            <v>1200</v>
          </cell>
        </row>
        <row r="139">
          <cell r="C139" t="str">
            <v>Bie</v>
          </cell>
          <cell r="D139" t="str">
            <v>Generator running (Maint, repair, fuel)</v>
          </cell>
          <cell r="E139">
            <v>1200</v>
          </cell>
        </row>
        <row r="142">
          <cell r="C142" t="str">
            <v>Central</v>
          </cell>
          <cell r="D142" t="str">
            <v>Generator purchase</v>
          </cell>
          <cell r="E142">
            <v>3500</v>
          </cell>
        </row>
        <row r="145">
          <cell r="C145" t="str">
            <v>Central</v>
          </cell>
          <cell r="D145" t="str">
            <v>Vehicle rental (lump sum)</v>
          </cell>
          <cell r="E145">
            <v>6000</v>
          </cell>
        </row>
        <row r="148">
          <cell r="C148" t="str">
            <v>Huambo</v>
          </cell>
          <cell r="D148" t="str">
            <v>Vehicle fuel MDA</v>
          </cell>
          <cell r="E148">
            <v>1200</v>
          </cell>
        </row>
        <row r="149">
          <cell r="C149" t="str">
            <v>Uige</v>
          </cell>
          <cell r="D149" t="str">
            <v>Vehicle fuel MDA</v>
          </cell>
          <cell r="E149">
            <v>3600</v>
          </cell>
        </row>
        <row r="150">
          <cell r="C150" t="str">
            <v>Zaire</v>
          </cell>
          <cell r="D150" t="str">
            <v>Vehicle fuel MDA</v>
          </cell>
          <cell r="E150">
            <v>1050</v>
          </cell>
        </row>
        <row r="151">
          <cell r="C151" t="str">
            <v>Bie</v>
          </cell>
          <cell r="D151" t="str">
            <v>Vehicle fuel MDA</v>
          </cell>
          <cell r="E151">
            <v>1050</v>
          </cell>
        </row>
        <row r="152">
          <cell r="C152" t="str">
            <v>Other</v>
          </cell>
          <cell r="D152" t="str">
            <v>Vehicle fuel MDA</v>
          </cell>
          <cell r="E152">
            <v>2400</v>
          </cell>
        </row>
      </sheetData>
      <sheetData sheetId="9">
        <row r="3">
          <cell r="C3" t="str">
            <v>Central</v>
          </cell>
          <cell r="D3" t="str">
            <v>Extra medicines (lumpsum)</v>
          </cell>
          <cell r="E3">
            <v>33000</v>
          </cell>
        </row>
      </sheetData>
      <sheetData sheetId="10">
        <row r="5">
          <cell r="C5" t="str">
            <v>Huambo</v>
          </cell>
          <cell r="D5" t="str">
            <v>Post training supervisions</v>
          </cell>
          <cell r="E5">
            <v>4800</v>
          </cell>
        </row>
        <row r="6">
          <cell r="C6" t="str">
            <v>Uige</v>
          </cell>
          <cell r="D6" t="str">
            <v>Post training supervisions</v>
          </cell>
          <cell r="E6">
            <v>44000</v>
          </cell>
        </row>
        <row r="7">
          <cell r="C7" t="str">
            <v>Zaire</v>
          </cell>
          <cell r="D7" t="str">
            <v>Post training supervisions</v>
          </cell>
          <cell r="E7">
            <v>30750</v>
          </cell>
        </row>
        <row r="8">
          <cell r="C8" t="str">
            <v>Huambo</v>
          </cell>
          <cell r="D8" t="str">
            <v>MDA supervisions</v>
          </cell>
          <cell r="E8">
            <v>2275</v>
          </cell>
        </row>
        <row r="9">
          <cell r="C9" t="str">
            <v>Uige</v>
          </cell>
          <cell r="D9" t="str">
            <v>MDA supervisions</v>
          </cell>
          <cell r="E9">
            <v>28500</v>
          </cell>
        </row>
        <row r="10">
          <cell r="C10" t="str">
            <v>Zaire</v>
          </cell>
          <cell r="D10" t="str">
            <v>MDA supervisions</v>
          </cell>
          <cell r="E10">
            <v>8600</v>
          </cell>
        </row>
        <row r="11">
          <cell r="C11" t="str">
            <v>Bie</v>
          </cell>
          <cell r="D11" t="str">
            <v>MDA supervisions</v>
          </cell>
          <cell r="E11">
            <v>8875</v>
          </cell>
        </row>
        <row r="12">
          <cell r="C12" t="str">
            <v>Other</v>
          </cell>
          <cell r="D12" t="str">
            <v>MDA supervisions</v>
          </cell>
          <cell r="E12">
            <v>30500</v>
          </cell>
        </row>
      </sheetData>
      <sheetData sheetId="11">
        <row r="5">
          <cell r="G5">
            <v>1500</v>
          </cell>
          <cell r="O5">
            <v>1500</v>
          </cell>
        </row>
        <row r="6">
          <cell r="G6">
            <v>1000</v>
          </cell>
          <cell r="O6">
            <v>1000</v>
          </cell>
        </row>
        <row r="7">
          <cell r="G7">
            <v>1000</v>
          </cell>
          <cell r="O7">
            <v>1500</v>
          </cell>
        </row>
        <row r="8">
          <cell r="G8">
            <v>1200</v>
          </cell>
          <cell r="O8">
            <v>1800</v>
          </cell>
        </row>
        <row r="9">
          <cell r="G9">
            <v>800</v>
          </cell>
          <cell r="O9">
            <v>1200</v>
          </cell>
        </row>
        <row r="10">
          <cell r="G10">
            <v>16625</v>
          </cell>
          <cell r="O10">
            <v>20000</v>
          </cell>
        </row>
        <row r="11">
          <cell r="G11">
            <v>900</v>
          </cell>
          <cell r="O11">
            <v>4500</v>
          </cell>
        </row>
        <row r="12">
          <cell r="G12">
            <v>375</v>
          </cell>
          <cell r="O12">
            <v>1875</v>
          </cell>
        </row>
        <row r="13">
          <cell r="G13">
            <v>1000</v>
          </cell>
          <cell r="O13">
            <v>2500</v>
          </cell>
        </row>
        <row r="14">
          <cell r="G14">
            <v>900</v>
          </cell>
          <cell r="O14">
            <v>1050</v>
          </cell>
        </row>
        <row r="21">
          <cell r="G21">
            <v>1500</v>
          </cell>
        </row>
        <row r="22">
          <cell r="G22">
            <v>1000</v>
          </cell>
          <cell r="O22">
            <v>1000</v>
          </cell>
        </row>
        <row r="23">
          <cell r="G23">
            <v>1750</v>
          </cell>
          <cell r="O23">
            <v>1750</v>
          </cell>
        </row>
        <row r="24">
          <cell r="G24">
            <v>2100</v>
          </cell>
          <cell r="O24">
            <v>2100</v>
          </cell>
        </row>
        <row r="25">
          <cell r="G25">
            <v>1400</v>
          </cell>
          <cell r="O25">
            <v>1400</v>
          </cell>
        </row>
        <row r="26">
          <cell r="G26">
            <v>25000</v>
          </cell>
          <cell r="O26">
            <v>0</v>
          </cell>
        </row>
        <row r="27">
          <cell r="G27">
            <v>6600</v>
          </cell>
          <cell r="O27">
            <v>5000</v>
          </cell>
        </row>
        <row r="28">
          <cell r="G28">
            <v>5000</v>
          </cell>
          <cell r="O28">
            <v>2500</v>
          </cell>
        </row>
        <row r="29">
          <cell r="G29">
            <v>2500</v>
          </cell>
          <cell r="O29">
            <v>2000</v>
          </cell>
        </row>
        <row r="30">
          <cell r="G30">
            <v>2000</v>
          </cell>
          <cell r="O30">
            <v>1200</v>
          </cell>
        </row>
        <row r="31">
          <cell r="G31">
            <v>1200</v>
          </cell>
        </row>
        <row r="38">
          <cell r="G38">
            <v>500</v>
          </cell>
          <cell r="O38">
            <v>1500</v>
          </cell>
        </row>
        <row r="39">
          <cell r="F39">
            <v>1500</v>
          </cell>
          <cell r="G39">
            <v>1500</v>
          </cell>
          <cell r="O39">
            <v>1000</v>
          </cell>
        </row>
        <row r="40">
          <cell r="G40">
            <v>1000</v>
          </cell>
          <cell r="O40">
            <v>1000</v>
          </cell>
        </row>
        <row r="41">
          <cell r="G41">
            <v>1250</v>
          </cell>
          <cell r="O41">
            <v>1500</v>
          </cell>
        </row>
        <row r="42">
          <cell r="G42">
            <v>1500</v>
          </cell>
          <cell r="O42">
            <v>800</v>
          </cell>
        </row>
        <row r="43">
          <cell r="G43">
            <v>1000</v>
          </cell>
          <cell r="O43">
            <v>2275</v>
          </cell>
        </row>
        <row r="44">
          <cell r="G44">
            <v>25000</v>
          </cell>
          <cell r="O44">
            <v>5100</v>
          </cell>
        </row>
        <row r="45">
          <cell r="G45">
            <v>9000</v>
          </cell>
          <cell r="O45">
            <v>1500</v>
          </cell>
        </row>
        <row r="46">
          <cell r="G46">
            <v>3750</v>
          </cell>
          <cell r="O46">
            <v>2000</v>
          </cell>
        </row>
        <row r="47">
          <cell r="G47">
            <v>2000</v>
          </cell>
          <cell r="O47">
            <v>1050</v>
          </cell>
        </row>
        <row r="48">
          <cell r="G48">
            <v>1200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J141" sheet="Budget YR1 DC"/>
  </cacheSource>
  <cacheFields count="9">
    <cacheField name="Category of expenses">
      <sharedItems containsMixedTypes="0" count="10">
        <s v="Human Resources"/>
        <s v="Technical Assistance"/>
        <s v="Planning and Administration"/>
        <s v="Training"/>
        <s v="Procurement and Supply Management Costs"/>
        <s v="Infrastructure and other Equipment"/>
        <s v="Communications Materials"/>
        <s v="Monitoring and Evaluation"/>
        <s v="Health Products and Health Equipment"/>
        <s v="Overheads"/>
      </sharedItems>
    </cacheField>
    <cacheField name="Program Activity">
      <sharedItems containsMixedTypes="0" count="14">
        <s v="Program Management and Administration"/>
        <s v="Supervision"/>
        <s v="NTD Capacity Building"/>
        <s v="Training and Workshops"/>
        <s v="Mass Drug Administration"/>
        <s v="IEC/ACSM"/>
        <s v="Support to Health Facilities"/>
        <s v="NTD Mapping"/>
        <s v="Information, Communication, Education"/>
        <s v="Distribution Costs (MDA)"/>
        <s v="Information, Communication, Edu."/>
        <s v="Mapping"/>
        <s v="Capacity Building"/>
        <s v="Trainning and Workshops"/>
      </sharedItems>
    </cacheField>
    <cacheField name=" BdgLine">
      <sharedItems containsMixedTypes="0"/>
    </cacheField>
    <cacheField name="Entry">
      <sharedItems containsMixedTypes="1" containsNumber="1"/>
    </cacheField>
    <cacheField name="Activity">
      <sharedItems containsMixedTypes="0"/>
    </cacheField>
    <cacheField name="Unit Quantity">
      <sharedItems containsMixedTypes="1" containsNumber="1" containsInteger="1"/>
    </cacheField>
    <cacheField name="Unit Cost">
      <sharedItems containsMixedTypes="1" containsNumber="1"/>
    </cacheField>
    <cacheField name="Frequency">
      <sharedItems containsMixedTypes="0"/>
    </cacheField>
    <cacheField name="Total Project Cost">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3:G61" sheet="Budget YR5 DC"/>
  </cacheSource>
  <cacheFields count="6">
    <cacheField name="CATEGORY OF EXPENSES">
      <sharedItems containsMixedTypes="0" count="9">
        <s v="Human Resources"/>
        <s v="Technical Assistance"/>
        <s v="Training"/>
        <s v="Planning and Administration"/>
        <s v="Procurement and Supply Management Costs"/>
        <s v="Infrastructure and other Equipment"/>
        <s v="Communications Materials"/>
        <s v="Monitoring and Evaluation"/>
        <s v="Overheads"/>
      </sharedItems>
    </cacheField>
    <cacheField name="PROGRAM ACTIVITY">
      <sharedItems containsMixedTypes="0" count="11">
        <s v="Program Management and Administration"/>
        <s v="Supervision"/>
        <s v="NTD Capacity Building"/>
        <s v="Training and Workshops"/>
        <s v="Mass Drug Administration"/>
        <s v="IEC/ACSM"/>
        <s v="Support to Health Facilities"/>
        <s v="Information, Communication, Edu."/>
        <s v="Distribution Costs (MDA)"/>
        <s v="Capacity Building"/>
        <s v="Assessments and Surveys"/>
      </sharedItems>
    </cacheField>
    <cacheField name="Line">
      <sharedItems containsMixedTypes="0"/>
    </cacheField>
    <cacheField name="Description">
      <sharedItems containsMixedTypes="0"/>
    </cacheField>
    <cacheField name="Number of units">
      <sharedItems containsMixedTypes="1" containsNumber="1" containsInteger="1"/>
    </cacheField>
    <cacheField name="Total">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4:R203" sheet="Budget YR2-4 DC+Hm"/>
  </cacheSource>
  <cacheFields count="13">
    <cacheField name="Category of expenses">
      <sharedItems containsBlank="1" containsMixedTypes="0" count="13">
        <s v="Human Resources"/>
        <m/>
        <s v="Technical Assistance"/>
        <s v="Training"/>
        <s v="Infrastructure and other Equipment"/>
        <s v="Communications Materials"/>
        <s v="Living or other Support to Beneficiary Population(s)"/>
        <s v="Planning and Administration"/>
        <s v="Procurement and Supply Management Costs"/>
        <s v="Medicines and Pharmaceutical Products"/>
        <s v="Monitoring and Evaluation"/>
        <s v="Health Products and Health Equipment"/>
        <s v="Overheads"/>
      </sharedItems>
    </cacheField>
    <cacheField name="Program Activity">
      <sharedItems containsBlank="1" containsMixedTypes="0" count="17">
        <s v="Supervision"/>
        <s v="Program Management and Administration"/>
        <s v="WASH"/>
        <s v="Assessments and Surveys"/>
        <s v="NTD Capacity Building"/>
        <s v="Mass Drug Administration"/>
        <m/>
        <s v="Training and Workshops"/>
        <s v="IEC/ACSM"/>
        <s v="NTD Mapping"/>
        <s v="Support to Health Facilities"/>
        <s v="Medicines (Mapping, MDA, etc.)"/>
        <s v="Distribution Costs (MDA)"/>
        <s v="Information, Communication, Edu."/>
        <s v="Community Mobilization"/>
        <s v="Mapping"/>
        <s v="Capacity Building"/>
      </sharedItems>
    </cacheField>
    <cacheField name="A. Component 1: HUMAN RESOURCES">
      <sharedItems containsMixedTypes="0"/>
    </cacheField>
    <cacheField name="Quantity">
      <sharedItems containsMixedTypes="1" containsNumber="1"/>
    </cacheField>
    <cacheField name="Unit Cost">
      <sharedItems containsMixedTypes="1" containsNumber="1"/>
    </cacheField>
    <cacheField name="Frequency">
      <sharedItems containsMixedTypes="0"/>
    </cacheField>
    <cacheField name="Total unit cost">
      <sharedItems containsMixedTypes="1" containsNumber="1"/>
    </cacheField>
    <cacheField name="Unit Quantity">
      <sharedItems containsMixedTypes="1" containsNumber="1" containsInteger="1"/>
    </cacheField>
    <cacheField name="Total cost YEAR 1">
      <sharedItems containsMixedTypes="1" containsNumber="1"/>
    </cacheField>
    <cacheField name="P5">
      <sharedItems containsMixedTypes="1" containsNumber="1"/>
    </cacheField>
    <cacheField name="P6">
      <sharedItems containsMixedTypes="1" containsNumber="1"/>
    </cacheField>
    <cacheField name="P7">
      <sharedItems containsMixedTypes="1" containsNumber="1"/>
    </cacheField>
    <cacheField name="P8">
      <sharedItems containsMixedTypes="1"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4:W203" sheet="Budget YR2-4 DC+Hm"/>
  </cacheSource>
  <cacheFields count="18">
    <cacheField name="x">
      <sharedItems containsMixedTypes="0"/>
    </cacheField>
    <cacheField name="Category of expenses">
      <sharedItems containsBlank="1" containsMixedTypes="0" count="13">
        <s v="Human Resources"/>
        <m/>
        <s v="Technical Assistance"/>
        <s v="Training"/>
        <s v="Infrastructure and other Equipment"/>
        <s v="Communications Materials"/>
        <s v="Living or other Support to Beneficiary Population(s)"/>
        <s v="Planning and Administration"/>
        <s v="Procurement and Supply Management Costs"/>
        <s v="Medicines and Pharmaceutical Products"/>
        <s v="Monitoring and Evaluation"/>
        <s v="Health Products and Health Equipment"/>
        <s v="Overheads"/>
      </sharedItems>
    </cacheField>
    <cacheField name="Program Activity">
      <sharedItems containsBlank="1" containsMixedTypes="0" count="17">
        <s v="Supervision"/>
        <s v="Program Management and Administration"/>
        <s v="WASH"/>
        <s v="Assessments and Surveys"/>
        <s v="NTD Capacity Building"/>
        <s v="Mass Drug Administration"/>
        <m/>
        <s v="Training and Workshops"/>
        <s v="IEC/ACSM"/>
        <s v="NTD Mapping"/>
        <s v="Support to Health Facilities"/>
        <s v="Medicines (Mapping, MDA, etc.)"/>
        <s v="Distribution Costs (MDA)"/>
        <s v="Information, Communication, Edu."/>
        <s v="Community Mobilization"/>
        <s v="Mapping"/>
        <s v="Capacity Building"/>
      </sharedItems>
    </cacheField>
    <cacheField name="A. Component 1: HUMAN RESOURCES">
      <sharedItems containsMixedTypes="0"/>
    </cacheField>
    <cacheField name="Quantity">
      <sharedItems containsMixedTypes="1" containsNumber="1"/>
    </cacheField>
    <cacheField name="Unit Cost">
      <sharedItems containsMixedTypes="1" containsNumber="1"/>
    </cacheField>
    <cacheField name="Frequency">
      <sharedItems containsMixedTypes="0"/>
    </cacheField>
    <cacheField name="Total unit cost">
      <sharedItems containsMixedTypes="1" containsNumber="1"/>
    </cacheField>
    <cacheField name="Unit Quantity">
      <sharedItems containsMixedTypes="1" containsNumber="1" containsInteger="1"/>
    </cacheField>
    <cacheField name="Total cost YEAR 1">
      <sharedItems containsMixedTypes="1" containsNumber="1"/>
    </cacheField>
    <cacheField name="P5">
      <sharedItems containsMixedTypes="1" containsNumber="1"/>
    </cacheField>
    <cacheField name="P6">
      <sharedItems containsMixedTypes="1" containsNumber="1"/>
    </cacheField>
    <cacheField name="P7">
      <sharedItems containsMixedTypes="1" containsNumber="1"/>
    </cacheField>
    <cacheField name="P8">
      <sharedItems containsMixedTypes="1" containsNumber="1"/>
    </cacheField>
    <cacheField name="Unit Quantity2">
      <sharedItems containsMixedTypes="1" containsNumber="1" containsInteger="1"/>
    </cacheField>
    <cacheField name="Total cost YEAR 2">
      <sharedItems containsMixedTypes="1" containsNumber="1"/>
    </cacheField>
    <cacheField name="Unit Quantity3">
      <sharedItems containsMixedTypes="1" containsNumber="1" containsInteger="1"/>
    </cacheField>
    <cacheField name="Total cost YEAR 3">
      <sharedItems containsMixedTypes="1"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1:N141" sheet="Budget YR1 DC"/>
  </cacheSource>
  <cacheFields count="13">
    <cacheField name="Category of expenses">
      <sharedItems containsMixedTypes="0" count="10">
        <s v="Human Resources"/>
        <s v="Technical Assistance"/>
        <s v="Planning and Administration"/>
        <s v="Training"/>
        <s v="Procurement and Supply Management Costs"/>
        <s v="Infrastructure and other Equipment"/>
        <s v="Communications Materials"/>
        <s v="Monitoring and Evaluation"/>
        <s v="Health Products and Health Equipment"/>
        <s v="Overheads"/>
      </sharedItems>
    </cacheField>
    <cacheField name="Program Activity">
      <sharedItems containsMixedTypes="0" count="12">
        <s v="Program Management and Administration"/>
        <s v="Supervision"/>
        <s v="NTD Capacity Building"/>
        <s v="Training and Workshops"/>
        <s v="Mass Drug Administration"/>
        <s v="IEC/ACSM"/>
        <s v="Support to Health Facilities"/>
        <s v="NTD Mapping"/>
        <s v="Capacity Building"/>
        <s v="Distribution Costs (MDA)"/>
        <s v="Information, Communication, Edu."/>
        <s v="Mapping"/>
      </sharedItems>
    </cacheField>
    <cacheField name=" BdgLine">
      <sharedItems containsMixedTypes="0"/>
    </cacheField>
    <cacheField name="Entry">
      <sharedItems containsMixedTypes="1" containsNumber="1"/>
    </cacheField>
    <cacheField name="Activity">
      <sharedItems containsMixedTypes="0"/>
    </cacheField>
    <cacheField name="Unit Quantity">
      <sharedItems containsMixedTypes="1" containsNumber="1" containsInteger="1"/>
    </cacheField>
    <cacheField name="Unit Cost">
      <sharedItems containsMixedTypes="1" containsNumber="1"/>
    </cacheField>
    <cacheField name="Frequency">
      <sharedItems containsMixedTypes="0"/>
    </cacheField>
    <cacheField name="Total Project Cost">
      <sharedItems containsSemiMixedTypes="0" containsString="0" containsMixedTypes="0" containsNumber="1"/>
    </cacheField>
    <cacheField name="ACTUAL Feb">
      <sharedItems containsSemiMixedTypes="0" containsString="0" containsMixedTypes="0" containsNumber="1"/>
    </cacheField>
    <cacheField name="HBO March">
      <sharedItems containsMixedTypes="1" containsNumber="1"/>
    </cacheField>
    <cacheField name="Audit">
      <sharedItems containsSemiMixedTypes="0" containsString="0" containsMixedTypes="0" containsNumber="1"/>
    </cacheField>
    <cacheField name="TOTAL YR1">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14" firstHeaderRow="2" firstDataRow="2" firstDataCol="1"/>
  <pivotFields count="9">
    <pivotField compact="0" outline="0" subtotalTop="0" showAll="0"/>
    <pivotField axis="axisRow" compact="0" outline="0" subtotalTop="0" showAll="0">
      <items count="15">
        <item m="1" x="12"/>
        <item m="1" x="9"/>
        <item m="1" x="8"/>
        <item m="1" x="11"/>
        <item x="0"/>
        <item x="1"/>
        <item x="3"/>
        <item m="1" x="13"/>
        <item m="1" x="10"/>
        <item x="2"/>
        <item x="4"/>
        <item x="5"/>
        <item x="6"/>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s>
  <rowFields count="1">
    <field x="1"/>
  </rowFields>
  <rowItems count="9">
    <i>
      <x v="4"/>
    </i>
    <i>
      <x v="5"/>
    </i>
    <i>
      <x v="6"/>
    </i>
    <i>
      <x v="9"/>
    </i>
    <i>
      <x v="10"/>
    </i>
    <i>
      <x v="11"/>
    </i>
    <i>
      <x v="12"/>
    </i>
    <i>
      <x v="13"/>
    </i>
    <i t="grand">
      <x/>
    </i>
  </rowItems>
  <colItems count="1">
    <i/>
  </colItems>
  <dataFields count="1">
    <dataField name="Sum of Total Project Cost" fld="8" baseField="0" baseItem="0" numFmtId="4"/>
  </dataFields>
  <formats count="6">
    <format dxfId="0">
      <pivotArea outline="0" fieldPosition="0" axis="axisRow" dataOnly="0" field="1" labelOnly="1" type="button"/>
    </format>
    <format dxfId="1">
      <pivotArea outline="0" fieldPosition="0"/>
    </format>
    <format dxfId="1">
      <pivotArea outline="0" fieldPosition="0" dataOnly="0" labelOnly="1" type="topRight"/>
    </format>
    <format dxfId="2">
      <pivotArea outline="0" fieldPosition="0" axis="axisRow" dataOnly="0" field="1"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18">
    <pivotField compact="0" outline="0" subtotalTop="0" showAll="0"/>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Sum of Total cost YEAR 3" fld="17" baseField="1" baseItem="0" numFmtId="4"/>
  </dataFields>
  <formats count="4">
    <format dxfId="7">
      <pivotArea outline="0" fieldPosition="0" axis="axisRow" dataOnly="0" field="1" labelOnly="1" type="button"/>
    </format>
    <format dxfId="0">
      <pivotArea outline="0" fieldPosition="0" axis="axisRow" dataOnly="0" field="1" labelOnly="1" type="button"/>
    </format>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4" firstHeaderRow="2" firstDataRow="2" firstDataCol="1"/>
  <pivotFields count="6">
    <pivotField axis="axisRow" compact="0" outline="0" subtotalTop="0" showAll="0">
      <items count="10">
        <item x="6"/>
        <item x="0"/>
        <item x="5"/>
        <item x="7"/>
        <item x="8"/>
        <item x="3"/>
        <item x="4"/>
        <item x="1"/>
        <item x="2"/>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Sum of Total" fld="5" baseField="0" baseItem="0" numFmtId="4"/>
  </dataFields>
  <formats count="6">
    <format dxfId="1">
      <pivotArea outline="0" fieldPosition="0"/>
    </format>
    <format dxfId="1">
      <pivotArea outline="0" fieldPosition="0" dataOnly="0" labelOnly="1" type="topRight"/>
    </format>
    <format dxfId="0">
      <pivotArea outline="0" fieldPosition="0" grandRow="1"/>
    </format>
    <format dxfId="0">
      <pivotArea outline="0" fieldPosition="0" dataOnly="0" grandRow="1" labelOnly="1"/>
    </format>
    <format dxfId="0">
      <pivotArea outline="0" fieldPosition="0" axis="axisRow" dataOnly="0" field="0" labelOnly="1" type="button"/>
    </format>
    <format dxfId="11">
      <pivotArea outline="0" fieldPosition="0" axis="axisRow" dataOnly="0" field="0" labelOnly="1" type="button"/>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2" firstHeaderRow="2" firstDataRow="2" firstDataCol="1"/>
  <pivotFields count="6">
    <pivotField compact="0" outline="0" subtotalTop="0" showAll="0"/>
    <pivotField axis="axisRow" compact="0" outline="0" subtotalTop="0" showAll="0">
      <items count="12">
        <item m="1" x="10"/>
        <item m="1" x="9"/>
        <item m="1" x="8"/>
        <item m="1" x="7"/>
        <item x="0"/>
        <item x="1"/>
        <item x="3"/>
        <item x="2"/>
        <item x="4"/>
        <item x="5"/>
        <item x="6"/>
        <item t="default"/>
      </items>
    </pivotField>
    <pivotField compact="0" outline="0" subtotalTop="0" showAll="0"/>
    <pivotField compact="0" outline="0" subtotalTop="0" showAll="0"/>
    <pivotField compact="0" outline="0" subtotalTop="0" showAll="0"/>
    <pivotField dataField="1" compact="0" outline="0" subtotalTop="0" showAll="0"/>
  </pivotFields>
  <rowFields count="1">
    <field x="1"/>
  </rowFields>
  <rowItems count="8">
    <i>
      <x v="4"/>
    </i>
    <i>
      <x v="5"/>
    </i>
    <i>
      <x v="6"/>
    </i>
    <i>
      <x v="7"/>
    </i>
    <i>
      <x v="8"/>
    </i>
    <i>
      <x v="9"/>
    </i>
    <i>
      <x v="10"/>
    </i>
    <i t="grand">
      <x/>
    </i>
  </rowItems>
  <colItems count="1">
    <i/>
  </colItems>
  <dataFields count="1">
    <dataField name="Sum of Total" fld="5" baseField="0" baseItem="0" numFmtId="4"/>
  </dataFields>
  <formats count="6">
    <format dxfId="2">
      <pivotArea outline="0" fieldPosition="0" axis="axisRow" dataOnly="0" field="1" labelOnly="1" type="button"/>
    </format>
    <format dxfId="0">
      <pivotArea outline="0" fieldPosition="0" axis="axisRow" dataOnly="0" field="1" labelOnly="1" type="button"/>
    </format>
    <format dxfId="1">
      <pivotArea outline="0" fieldPosition="0"/>
    </format>
    <format dxfId="1">
      <pivotArea outline="0" fieldPosition="0" dataOnly="0" labelOnly="1" type="topRight"/>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4:E16" firstHeaderRow="2" firstDataRow="2" firstDataCol="1"/>
  <pivotFields count="9">
    <pivotField axis="axisRow" compact="0" outline="0" subtotalTop="0" showAll="0">
      <items count="11">
        <item x="6"/>
        <item x="8"/>
        <item x="0"/>
        <item x="5"/>
        <item x="7"/>
        <item x="2"/>
        <item x="4"/>
        <item x="1"/>
        <item x="3"/>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s>
  <rowFields count="1">
    <field x="0"/>
  </rowFields>
  <rowItems count="11">
    <i>
      <x/>
    </i>
    <i>
      <x v="1"/>
    </i>
    <i>
      <x v="2"/>
    </i>
    <i>
      <x v="3"/>
    </i>
    <i>
      <x v="4"/>
    </i>
    <i>
      <x v="5"/>
    </i>
    <i>
      <x v="6"/>
    </i>
    <i>
      <x v="7"/>
    </i>
    <i>
      <x v="8"/>
    </i>
    <i>
      <x v="9"/>
    </i>
    <i t="grand">
      <x/>
    </i>
  </rowItems>
  <colItems count="1">
    <i/>
  </colItems>
  <dataFields count="1">
    <dataField name="Sum of Total Project Cost" fld="8" baseField="0" baseItem="0" numFmtId="4"/>
  </dataFields>
  <formats count="5">
    <format dxfId="1">
      <pivotArea outline="0" fieldPosition="0"/>
    </format>
    <format dxfId="1">
      <pivotArea outline="0" fieldPosition="0" dataOnly="0" labelOnly="1" type="topRight"/>
    </format>
    <format dxfId="3">
      <pivotArea outline="0" fieldPosition="0" axis="axisRow" dataOnly="0" field="0"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3" firstHeaderRow="2" firstDataRow="2" firstDataCol="1"/>
  <pivotFields count="13">
    <pivotField compact="0" outline="0" subtotalTop="0" showAll="0"/>
    <pivotField axis="axisRow" compact="0" outline="0" subtotalTop="0" showAll="0">
      <items count="13">
        <item m="1" x="8"/>
        <item m="1" x="9"/>
        <item m="1" x="10"/>
        <item m="1" x="11"/>
        <item x="0"/>
        <item x="1"/>
        <item x="3"/>
        <item x="2"/>
        <item x="4"/>
        <item x="5"/>
        <item x="6"/>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pivotField compact="0" outline="0" subtotalTop="0" showAll="0"/>
    <pivotField dataField="1" compact="0" outline="0" subtotalTop="0" showAll="0" numFmtId="4"/>
    <pivotField compact="0" outline="0" subtotalTop="0" showAll="0" numFmtId="4"/>
  </pivotFields>
  <rowFields count="1">
    <field x="1"/>
  </rowFields>
  <rowItems count="9">
    <i>
      <x v="4"/>
    </i>
    <i>
      <x v="5"/>
    </i>
    <i>
      <x v="6"/>
    </i>
    <i>
      <x v="7"/>
    </i>
    <i>
      <x v="8"/>
    </i>
    <i>
      <x v="9"/>
    </i>
    <i>
      <x v="10"/>
    </i>
    <i>
      <x v="11"/>
    </i>
    <i t="grand">
      <x/>
    </i>
  </rowItems>
  <colItems count="1">
    <i/>
  </colItems>
  <dataFields count="1">
    <dataField name="Suma de Audit" fld="11" baseField="0" baseItem="0"/>
  </dataFields>
  <formats count="9">
    <format dxfId="4">
      <pivotArea outline="0" fieldPosition="0"/>
    </format>
    <format dxfId="4">
      <pivotArea outline="0" fieldPosition="0" dataOnly="0" labelOnly="1" type="topRight"/>
    </format>
    <format dxfId="5">
      <pivotArea outline="0" fieldPosition="255" dataOnly="0" field="0" labelOnly="1" type="button"/>
    </format>
    <format dxfId="0">
      <pivotArea outline="0" fieldPosition="255" dataOnly="0" field="0" labelOnly="1" type="button"/>
    </format>
    <format dxfId="6">
      <pivotArea outline="0" fieldPosition="255" dataOnly="0" field="0" labelOnly="1" type="button"/>
    </format>
    <format dxfId="0">
      <pivotArea outline="0" fieldPosition="0" grandRow="1"/>
    </format>
    <format dxfId="0">
      <pivotArea outline="0" fieldPosition="0" dataOnly="0" grandRow="1" labelOnly="1"/>
    </format>
    <format dxfId="2">
      <pivotArea outline="0" fieldPosition="0" axis="axisRow" dataOnly="0" field="1" labelOnly="1" type="button"/>
    </format>
    <format dxfId="0">
      <pivotArea outline="0" fieldPosition="0" axis="axisRow" dataOnly="0" field="1"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5" firstHeaderRow="2" firstDataRow="2" firstDataCol="1"/>
  <pivotFields count="13">
    <pivotField axis="axisRow" compact="0" outline="0" subtotalTop="0" showAll="0">
      <items count="11">
        <item x="6"/>
        <item x="8"/>
        <item x="0"/>
        <item x="5"/>
        <item x="7"/>
        <item x="9"/>
        <item x="2"/>
        <item x="4"/>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pivotField compact="0" outline="0" subtotalTop="0" showAll="0"/>
    <pivotField dataField="1" compact="0" outline="0" subtotalTop="0" showAll="0" numFmtId="4"/>
    <pivotField compact="0" outline="0" subtotalTop="0" showAll="0" numFmtId="4"/>
  </pivotFields>
  <rowFields count="1">
    <field x="0"/>
  </rowFields>
  <rowItems count="11">
    <i>
      <x/>
    </i>
    <i>
      <x v="1"/>
    </i>
    <i>
      <x v="2"/>
    </i>
    <i>
      <x v="3"/>
    </i>
    <i>
      <x v="4"/>
    </i>
    <i>
      <x v="5"/>
    </i>
    <i>
      <x v="6"/>
    </i>
    <i>
      <x v="7"/>
    </i>
    <i>
      <x v="8"/>
    </i>
    <i>
      <x v="9"/>
    </i>
    <i t="grand">
      <x/>
    </i>
  </rowItems>
  <colItems count="1">
    <i/>
  </colItems>
  <dataFields count="1">
    <dataField name="Suma de Audit" fld="11" baseField="0" baseItem="0"/>
  </dataFields>
  <formats count="7">
    <format dxfId="4">
      <pivotArea outline="0" fieldPosition="0"/>
    </format>
    <format dxfId="4">
      <pivotArea outline="0" fieldPosition="0" dataOnly="0" labelOnly="1" type="topRight"/>
    </format>
    <format dxfId="5">
      <pivotArea outline="0" fieldPosition="0" axis="axisRow" dataOnly="0" field="0" labelOnly="1" type="button"/>
    </format>
    <format dxfId="0">
      <pivotArea outline="0" fieldPosition="0" axis="axisRow" dataOnly="0" field="0" labelOnly="1" type="button"/>
    </format>
    <format dxfId="6">
      <pivotArea outline="0" fieldPosition="0" axis="axisRow" dataOnly="0" field="0"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3:K16" firstHeaderRow="1" firstDataRow="2" firstDataCol="1"/>
  <pivotFields count="13">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1"/>
  </rowFields>
  <rowItems count="12">
    <i>
      <x/>
    </i>
    <i>
      <x v="7"/>
    </i>
    <i>
      <x v="8"/>
    </i>
    <i>
      <x v="9"/>
    </i>
    <i>
      <x v="10"/>
    </i>
    <i>
      <x v="11"/>
    </i>
    <i>
      <x v="12"/>
    </i>
    <i>
      <x v="13"/>
    </i>
    <i>
      <x v="14"/>
    </i>
    <i>
      <x v="15"/>
    </i>
    <i>
      <x v="16"/>
    </i>
    <i t="grand">
      <x/>
    </i>
  </rowItems>
  <colFields count="1">
    <field x="-2"/>
  </colFields>
  <colItems count="4">
    <i>
      <x/>
    </i>
    <i i="1">
      <x v="1"/>
    </i>
    <i i="2">
      <x v="2"/>
    </i>
    <i i="3">
      <x v="3"/>
    </i>
  </colItems>
  <dataFields count="4">
    <dataField name="Sum of P5" fld="9" baseField="0" baseItem="0"/>
    <dataField name="Sum of P6" fld="10" baseField="0" baseItem="0"/>
    <dataField name="Sum of P7" fld="11" baseField="0" baseItem="0"/>
    <dataField name="Sum of P8" fld="12" baseField="0" baseItem="0"/>
  </dataFields>
  <formats count="15">
    <format dxfId="7">
      <pivotArea outline="0" fieldPosition="255" dataOnly="0" field="0" labelOnly="1" type="button"/>
    </format>
    <format dxfId="0">
      <pivotArea outline="0" fieldPosition="255" dataOnly="0" field="0" labelOnly="1" type="button"/>
    </format>
    <format dxfId="0">
      <pivotArea outline="0" fieldPosition="0" dataOnly="0" labelOnly="1">
        <references count="1">
          <reference field="4294967294" count="4">
            <x v="0"/>
            <x v="1"/>
            <x v="2"/>
            <x v="3"/>
          </reference>
        </references>
      </pivotArea>
    </format>
    <format dxfId="8">
      <pivotArea outline="0" fieldPosition="0" dataOnly="0" labelOnly="1">
        <references count="1">
          <reference field="4294967294" count="4">
            <x v="0"/>
            <x v="1"/>
            <x v="2"/>
            <x v="3"/>
          </reference>
        </references>
      </pivotArea>
    </format>
    <format dxfId="1">
      <pivotArea outline="0" fieldPosition="0"/>
    </format>
    <format dxfId="1">
      <pivotArea outline="0" fieldPosition="0" dataOnly="0" labelOnly="1">
        <references count="1">
          <reference field="4294967294" count="4">
            <x v="0"/>
            <x v="1"/>
            <x v="2"/>
            <x v="3"/>
          </reference>
        </references>
      </pivotArea>
    </format>
    <format dxfId="0">
      <pivotArea outline="0" fieldPosition="0" grandRow="1"/>
    </format>
    <format dxfId="9">
      <pivotArea outline="0" fieldPosition="0" dataOnly="0" grandRow="1" labelOnly="1"/>
    </format>
    <format dxfId="0">
      <pivotArea outline="0" fieldPosition="0" dataOnly="0" grandRow="1" labelOnly="1"/>
    </format>
    <format dxfId="7">
      <pivotArea outline="0" fieldPosition="0" axis="axisRow" dataOnly="0" field="1" labelOnly="1" type="button"/>
    </format>
    <format dxfId="0">
      <pivotArea outline="0" fieldPosition="0" axis="axisRow" dataOnly="0" field="1" labelOnly="1" type="button"/>
    </format>
    <format dxfId="10">
      <pivotArea outline="0" fieldPosition="0">
        <references count="1">
          <reference field="1" count="1">
            <x v="10"/>
          </reference>
        </references>
      </pivotArea>
    </format>
    <format dxfId="10">
      <pivotArea outline="0" fieldPosition="0" grandRow="1"/>
    </format>
    <format dxfId="10">
      <pivotArea outline="0" fieldPosition="0" dataOnly="0" labelOnly="1">
        <references count="1">
          <reference field="1" count="1">
            <x v="10"/>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8" firstHeaderRow="1" firstDataRow="2" firstDataCol="1"/>
  <pivotFields count="13">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14">
    <i>
      <x/>
    </i>
    <i>
      <x v="1"/>
    </i>
    <i>
      <x v="2"/>
    </i>
    <i>
      <x v="3"/>
    </i>
    <i>
      <x v="4"/>
    </i>
    <i>
      <x v="5"/>
    </i>
    <i>
      <x v="6"/>
    </i>
    <i>
      <x v="7"/>
    </i>
    <i>
      <x v="8"/>
    </i>
    <i>
      <x v="9"/>
    </i>
    <i>
      <x v="10"/>
    </i>
    <i>
      <x v="11"/>
    </i>
    <i>
      <x v="12"/>
    </i>
    <i t="grand">
      <x/>
    </i>
  </rowItems>
  <colFields count="1">
    <field x="-2"/>
  </colFields>
  <colItems count="4">
    <i>
      <x/>
    </i>
    <i i="1">
      <x v="1"/>
    </i>
    <i i="2">
      <x v="2"/>
    </i>
    <i i="3">
      <x v="3"/>
    </i>
  </colItems>
  <dataFields count="4">
    <dataField name="Sum of P5" fld="9" baseField="0" baseItem="0"/>
    <dataField name="Sum of P6" fld="10" baseField="0" baseItem="0"/>
    <dataField name="Sum of P7" fld="11" baseField="0" baseItem="0"/>
    <dataField name="Sum of P8" fld="12" baseField="0" baseItem="0"/>
  </dataFields>
  <formats count="13">
    <format dxfId="7">
      <pivotArea outline="0" fieldPosition="0" axis="axisRow" dataOnly="0" field="0" labelOnly="1" type="button"/>
    </format>
    <format dxfId="0">
      <pivotArea outline="0" fieldPosition="0" axis="axisRow" dataOnly="0" field="0" labelOnly="1" type="button"/>
    </format>
    <format dxfId="0">
      <pivotArea outline="0" fieldPosition="0" dataOnly="0" labelOnly="1">
        <references count="1">
          <reference field="4294967294" count="4">
            <x v="0"/>
            <x v="1"/>
            <x v="2"/>
            <x v="3"/>
          </reference>
        </references>
      </pivotArea>
    </format>
    <format dxfId="8">
      <pivotArea outline="0" fieldPosition="0" dataOnly="0" labelOnly="1">
        <references count="1">
          <reference field="4294967294" count="4">
            <x v="0"/>
            <x v="1"/>
            <x v="2"/>
            <x v="3"/>
          </reference>
        </references>
      </pivotArea>
    </format>
    <format dxfId="1">
      <pivotArea outline="0" fieldPosition="0"/>
    </format>
    <format dxfId="1">
      <pivotArea outline="0" fieldPosition="0" dataOnly="0" labelOnly="1">
        <references count="1">
          <reference field="4294967294" count="4">
            <x v="0"/>
            <x v="1"/>
            <x v="2"/>
            <x v="3"/>
          </reference>
        </references>
      </pivotArea>
    </format>
    <format dxfId="0">
      <pivotArea outline="0" fieldPosition="0" grandRow="1"/>
    </format>
    <format dxfId="9">
      <pivotArea outline="0" fieldPosition="0" dataOnly="0" grandRow="1" labelOnly="1"/>
    </format>
    <format dxfId="0">
      <pivotArea outline="0" fieldPosition="0" dataOnly="0" grandRow="1" labelOnly="1"/>
    </format>
    <format dxfId="10">
      <pivotArea outline="0" fieldPosition="0">
        <references count="1">
          <reference field="0" count="1">
            <x v="12"/>
          </reference>
        </references>
      </pivotArea>
    </format>
    <format dxfId="10">
      <pivotArea outline="0" fieldPosition="0" grandRow="1"/>
    </format>
    <format dxfId="10">
      <pivotArea outline="0" fieldPosition="0" dataOnly="0" labelOnly="1">
        <references count="1">
          <reference field="0" count="1">
            <x v="12"/>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18">
    <pivotField compact="0" outline="0" subtotalTop="0" showAll="0"/>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Sum of Total cost YEAR 2" fld="15" baseField="1" baseItem="0" numFmtId="4"/>
  </dataFields>
  <formats count="6">
    <format dxfId="1">
      <pivotArea outline="0" fieldPosition="0"/>
    </format>
    <format dxfId="1">
      <pivotArea outline="0" fieldPosition="0" dataOnly="0" labelOnly="1" type="topRight"/>
    </format>
    <format dxfId="0">
      <pivotArea outline="0" fieldPosition="0" axis="axisRow" dataOnly="0" field="1" labelOnly="1" type="button"/>
    </format>
    <format dxfId="7">
      <pivotArea outline="0" fieldPosition="0" axis="axisRow" dataOnly="0" field="1" labelOnly="1" type="button"/>
    </format>
    <format dxfId="10">
      <pivotArea outline="0" fieldPosition="0" dataOnly="0">
        <references count="1">
          <reference field="1" count="1">
            <x v="12"/>
          </reference>
        </references>
      </pivotArea>
    </format>
    <format dxfId="10">
      <pivotArea outline="0" fieldPosition="0" dataOnly="0" grandRow="1"/>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5"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E3:F16" firstHeaderRow="2" firstDataRow="2" firstDataCol="1"/>
  <pivotFields count="18">
    <pivotField compact="0" outline="0" subtotalTop="0" showAll="0"/>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2">
    <i>
      <x/>
    </i>
    <i>
      <x v="7"/>
    </i>
    <i>
      <x v="8"/>
    </i>
    <i>
      <x v="9"/>
    </i>
    <i>
      <x v="10"/>
    </i>
    <i>
      <x v="11"/>
    </i>
    <i>
      <x v="12"/>
    </i>
    <i>
      <x v="13"/>
    </i>
    <i>
      <x v="14"/>
    </i>
    <i>
      <x v="15"/>
    </i>
    <i>
      <x v="16"/>
    </i>
    <i t="grand">
      <x/>
    </i>
  </rowItems>
  <colItems count="1">
    <i/>
  </colItems>
  <dataFields count="1">
    <dataField name="Sum of Total cost YEAR 2" fld="15" baseField="1" baseItem="0" numFmtId="4"/>
  </dataFields>
  <formats count="8">
    <format dxfId="1">
      <pivotArea outline="0" fieldPosition="0"/>
    </format>
    <format dxfId="1">
      <pivotArea outline="0" fieldPosition="0" dataOnly="0" labelOnly="1" type="topRight"/>
    </format>
    <format dxfId="7">
      <pivotArea outline="0" fieldPosition="0" axis="axisRow" dataOnly="0" field="2" labelOnly="1" type="button"/>
    </format>
    <format dxfId="0">
      <pivotArea outline="0" fieldPosition="0" axis="axisRow" dataOnly="0" field="2" labelOnly="1" type="button"/>
    </format>
    <format dxfId="10">
      <pivotArea outline="0" fieldPosition="0">
        <references count="1">
          <reference field="2" count="1">
            <x v="10"/>
          </reference>
        </references>
      </pivotArea>
    </format>
    <format dxfId="10">
      <pivotArea outline="0" fieldPosition="0" grandRow="1"/>
    </format>
    <format dxfId="10">
      <pivotArea outline="0" fieldPosition="0" dataOnly="0" labelOnly="1">
        <references count="1">
          <reference field="2" count="1">
            <x v="10"/>
          </reference>
        </references>
      </pivotArea>
    </format>
    <format dxfId="10">
      <pivotArea outline="0" fieldPosition="0" dataOnly="0" grandRow="1" labelOnly="1"/>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6" firstHeaderRow="2" firstDataRow="2" firstDataCol="1"/>
  <pivotFields count="18">
    <pivotField compact="0" outline="0" subtotalTop="0" showAll="0"/>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2"/>
  </rowFields>
  <rowItems count="12">
    <i>
      <x/>
    </i>
    <i>
      <x v="7"/>
    </i>
    <i>
      <x v="8"/>
    </i>
    <i>
      <x v="9"/>
    </i>
    <i>
      <x v="10"/>
    </i>
    <i>
      <x v="11"/>
    </i>
    <i>
      <x v="12"/>
    </i>
    <i>
      <x v="13"/>
    </i>
    <i>
      <x v="14"/>
    </i>
    <i>
      <x v="15"/>
    </i>
    <i>
      <x v="16"/>
    </i>
    <i t="grand">
      <x/>
    </i>
  </rowItems>
  <colItems count="1">
    <i/>
  </colItems>
  <dataFields count="1">
    <dataField name="Sum of Total cost YEAR 3" fld="17" baseField="1" baseItem="0" numFmtId="4"/>
  </dataFields>
  <formats count="10">
    <format dxfId="7">
      <pivotArea outline="0" fieldPosition="255" dataOnly="0" field="1" labelOnly="1" type="button"/>
    </format>
    <format dxfId="0">
      <pivotArea outline="0" fieldPosition="255" dataOnly="0" field="1" labelOnly="1" type="button"/>
    </format>
    <format dxfId="1">
      <pivotArea outline="0" fieldPosition="0"/>
    </format>
    <format dxfId="1">
      <pivotArea outline="0" fieldPosition="0" dataOnly="0" labelOnly="1" type="topRight"/>
    </format>
    <format dxfId="0">
      <pivotArea outline="0" fieldPosition="0" axis="axisRow" dataOnly="0" field="2" labelOnly="1" type="button"/>
    </format>
    <format dxfId="7">
      <pivotArea outline="0" fieldPosition="0" axis="axisRow" dataOnly="0" field="2" labelOnly="1" type="button"/>
    </format>
    <format dxfId="10">
      <pivotArea outline="0" fieldPosition="0">
        <references count="1">
          <reference field="2" count="1">
            <x v="10"/>
          </reference>
        </references>
      </pivotArea>
    </format>
    <format dxfId="10">
      <pivotArea outline="0" fieldPosition="0" grandRow="1"/>
    </format>
    <format dxfId="10">
      <pivotArea outline="0" fieldPosition="0" dataOnly="0" labelOnly="1">
        <references count="1">
          <reference field="2" count="1">
            <x v="10"/>
          </reference>
        </references>
      </pivotArea>
    </format>
    <format dxfId="1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5.xml" /><Relationship Id="rId2" Type="http://schemas.openxmlformats.org/officeDocument/2006/relationships/pivotTable" Target="../pivotTables/pivotTable6.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11.421875" defaultRowHeight="15"/>
  <cols>
    <col min="1" max="1" width="6.140625" style="0" customWidth="1"/>
    <col min="2" max="3" width="11.421875" style="0" customWidth="1"/>
    <col min="4" max="4" width="30.7109375" style="0" customWidth="1"/>
    <col min="5" max="5" width="76.140625" style="0" customWidth="1"/>
  </cols>
  <sheetData>
    <row r="1" s="1" customFormat="1" ht="13.5"/>
    <row r="2" spans="1:5" ht="15.75">
      <c r="A2" s="12" t="s">
        <v>19</v>
      </c>
      <c r="B2" s="14"/>
      <c r="C2" s="14"/>
      <c r="D2" s="2"/>
      <c r="E2" s="2" t="s">
        <v>65</v>
      </c>
    </row>
    <row r="3" spans="1:5" ht="27.75">
      <c r="A3" s="31">
        <v>1</v>
      </c>
      <c r="B3" s="763" t="s">
        <v>26</v>
      </c>
      <c r="C3" s="764"/>
      <c r="D3" s="765"/>
      <c r="E3" s="30" t="s">
        <v>66</v>
      </c>
    </row>
    <row r="4" spans="1:5" ht="42">
      <c r="A4" s="31">
        <v>2</v>
      </c>
      <c r="B4" s="763" t="s">
        <v>27</v>
      </c>
      <c r="C4" s="764"/>
      <c r="D4" s="765"/>
      <c r="E4" s="30" t="s">
        <v>67</v>
      </c>
    </row>
    <row r="5" spans="1:5" ht="27.75">
      <c r="A5" s="31">
        <v>3</v>
      </c>
      <c r="B5" s="763" t="s">
        <v>28</v>
      </c>
      <c r="C5" s="764"/>
      <c r="D5" s="765"/>
      <c r="E5" s="30" t="s">
        <v>68</v>
      </c>
    </row>
    <row r="6" spans="1:5" ht="27.75">
      <c r="A6" s="31">
        <v>4</v>
      </c>
      <c r="B6" s="763" t="s">
        <v>29</v>
      </c>
      <c r="C6" s="764"/>
      <c r="D6" s="765"/>
      <c r="E6" s="30" t="s">
        <v>69</v>
      </c>
    </row>
    <row r="7" spans="1:5" ht="27.75">
      <c r="A7" s="31">
        <v>5</v>
      </c>
      <c r="B7" s="763" t="s">
        <v>30</v>
      </c>
      <c r="C7" s="764"/>
      <c r="D7" s="765"/>
      <c r="E7" s="30" t="s">
        <v>70</v>
      </c>
    </row>
    <row r="8" spans="1:5" ht="27.75">
      <c r="A8" s="31">
        <v>6</v>
      </c>
      <c r="B8" s="763" t="s">
        <v>33</v>
      </c>
      <c r="C8" s="764"/>
      <c r="D8" s="765"/>
      <c r="E8" s="30" t="s">
        <v>71</v>
      </c>
    </row>
    <row r="9" spans="1:5" ht="42">
      <c r="A9" s="31">
        <v>7</v>
      </c>
      <c r="B9" s="763" t="s">
        <v>31</v>
      </c>
      <c r="C9" s="764"/>
      <c r="D9" s="765"/>
      <c r="E9" s="30" t="s">
        <v>72</v>
      </c>
    </row>
    <row r="10" spans="1:5" ht="27.75">
      <c r="A10" s="31">
        <v>8</v>
      </c>
      <c r="B10" s="763" t="s">
        <v>32</v>
      </c>
      <c r="C10" s="764"/>
      <c r="D10" s="765"/>
      <c r="E10" s="30" t="s">
        <v>73</v>
      </c>
    </row>
    <row r="11" spans="1:5" ht="42">
      <c r="A11" s="31">
        <v>9</v>
      </c>
      <c r="B11" s="763" t="s">
        <v>8</v>
      </c>
      <c r="C11" s="764"/>
      <c r="D11" s="765"/>
      <c r="E11" s="30" t="s">
        <v>74</v>
      </c>
    </row>
    <row r="12" spans="1:5" ht="27.75">
      <c r="A12" s="31">
        <v>10</v>
      </c>
      <c r="B12" s="763" t="s">
        <v>57</v>
      </c>
      <c r="C12" s="764"/>
      <c r="D12" s="765"/>
      <c r="E12" s="30" t="s">
        <v>75</v>
      </c>
    </row>
    <row r="13" spans="1:5" ht="27.75">
      <c r="A13" s="31">
        <v>11</v>
      </c>
      <c r="B13" s="763" t="s">
        <v>34</v>
      </c>
      <c r="C13" s="764"/>
      <c r="D13" s="765"/>
      <c r="E13" s="30" t="s">
        <v>76</v>
      </c>
    </row>
    <row r="14" spans="1:5" ht="27.75">
      <c r="A14" s="31">
        <v>12</v>
      </c>
      <c r="B14" s="763" t="s">
        <v>35</v>
      </c>
      <c r="C14" s="764"/>
      <c r="D14" s="765"/>
      <c r="E14" s="30" t="s">
        <v>77</v>
      </c>
    </row>
    <row r="15" spans="1:5" ht="15">
      <c r="A15" s="31">
        <v>13</v>
      </c>
      <c r="B15" s="763" t="s">
        <v>0</v>
      </c>
      <c r="C15" s="764"/>
      <c r="D15" s="765"/>
      <c r="E15" s="30" t="s">
        <v>78</v>
      </c>
    </row>
  </sheetData>
  <sheetProtection/>
  <mergeCells count="13">
    <mergeCell ref="B3:D3"/>
    <mergeCell ref="B4:D4"/>
    <mergeCell ref="B5:D5"/>
    <mergeCell ref="B6:D6"/>
    <mergeCell ref="B7:D7"/>
    <mergeCell ref="B8:D8"/>
    <mergeCell ref="B15:D15"/>
    <mergeCell ref="B9:D9"/>
    <mergeCell ref="B10:D10"/>
    <mergeCell ref="B11:D11"/>
    <mergeCell ref="B12:D12"/>
    <mergeCell ref="B13:D13"/>
    <mergeCell ref="B14:D14"/>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U375"/>
  <sheetViews>
    <sheetView workbookViewId="0" topLeftCell="A1">
      <selection activeCell="A1" sqref="A1"/>
    </sheetView>
  </sheetViews>
  <sheetFormatPr defaultColWidth="11.421875" defaultRowHeight="15"/>
  <cols>
    <col min="1" max="1" width="2.421875" style="1" customWidth="1"/>
    <col min="2" max="3" width="8.8515625" style="33" customWidth="1"/>
    <col min="4" max="4" width="4.28125" style="1" customWidth="1"/>
    <col min="5" max="5" width="4.421875" style="1" customWidth="1"/>
    <col min="6" max="6" width="26.7109375" style="1" customWidth="1"/>
    <col min="7" max="7" width="8.7109375" style="57" customWidth="1"/>
    <col min="8" max="8" width="7.7109375" style="58" customWidth="1"/>
    <col min="9" max="9" width="8.28125" style="62" customWidth="1"/>
    <col min="10" max="10" width="11.421875" style="32" customWidth="1"/>
    <col min="11" max="11" width="11.28125" style="32" customWidth="1"/>
    <col min="12" max="12" width="10.421875" style="238" customWidth="1"/>
    <col min="13" max="13" width="10.140625" style="1" customWidth="1"/>
    <col min="14" max="14" width="10.140625" style="0" customWidth="1"/>
    <col min="15" max="15" width="13.00390625" style="0" customWidth="1"/>
    <col min="16" max="20" width="9.140625" style="0" customWidth="1"/>
    <col min="21" max="21" width="12.28125" style="32" customWidth="1"/>
  </cols>
  <sheetData>
    <row r="1" spans="1:16" ht="15" thickBot="1">
      <c r="A1" s="1" t="s">
        <v>503</v>
      </c>
      <c r="B1" s="34" t="s">
        <v>502</v>
      </c>
      <c r="C1" s="34" t="s">
        <v>798</v>
      </c>
      <c r="D1" s="35" t="s">
        <v>126</v>
      </c>
      <c r="E1" s="36" t="s">
        <v>81</v>
      </c>
      <c r="F1" s="37" t="s">
        <v>82</v>
      </c>
      <c r="G1" s="36" t="s">
        <v>83</v>
      </c>
      <c r="H1" s="38" t="s">
        <v>84</v>
      </c>
      <c r="I1" s="38" t="s">
        <v>85</v>
      </c>
      <c r="J1" s="39" t="s">
        <v>86</v>
      </c>
      <c r="K1" s="242" t="s">
        <v>845</v>
      </c>
      <c r="L1" s="243" t="s">
        <v>844</v>
      </c>
      <c r="M1" s="266" t="s">
        <v>870</v>
      </c>
      <c r="N1" s="244" t="s">
        <v>847</v>
      </c>
      <c r="O1" s="62" t="s">
        <v>848</v>
      </c>
      <c r="P1" s="62"/>
    </row>
    <row r="2" spans="1:21" ht="13.5">
      <c r="A2" s="1" t="s">
        <v>503</v>
      </c>
      <c r="B2" s="33" t="s">
        <v>26</v>
      </c>
      <c r="C2" s="33" t="s">
        <v>59</v>
      </c>
      <c r="D2" s="40" t="s">
        <v>128</v>
      </c>
      <c r="E2" s="41" t="s">
        <v>129</v>
      </c>
      <c r="F2" s="42" t="s">
        <v>130</v>
      </c>
      <c r="G2" s="43">
        <v>7</v>
      </c>
      <c r="H2" s="44">
        <v>3500</v>
      </c>
      <c r="I2" s="45" t="s">
        <v>90</v>
      </c>
      <c r="J2" s="46">
        <v>24500</v>
      </c>
      <c r="K2" s="32">
        <v>21715.42</v>
      </c>
      <c r="L2" s="238">
        <v>3500</v>
      </c>
      <c r="M2" s="265">
        <v>17656.42</v>
      </c>
      <c r="N2" s="32">
        <f>K2+L2</f>
        <v>25215.42</v>
      </c>
      <c r="O2" s="32">
        <f>J2-N2</f>
        <v>-715.4199999999983</v>
      </c>
      <c r="P2" t="s">
        <v>849</v>
      </c>
      <c r="R2" t="s">
        <v>128</v>
      </c>
      <c r="S2" t="s">
        <v>129</v>
      </c>
      <c r="T2" t="s">
        <v>130</v>
      </c>
      <c r="U2" s="32">
        <v>17656.42</v>
      </c>
    </row>
    <row r="3" spans="1:21" ht="13.5">
      <c r="A3" s="1" t="s">
        <v>503</v>
      </c>
      <c r="B3" s="33" t="s">
        <v>26</v>
      </c>
      <c r="C3" s="33" t="s">
        <v>59</v>
      </c>
      <c r="D3" s="40" t="s">
        <v>131</v>
      </c>
      <c r="E3" s="41" t="s">
        <v>132</v>
      </c>
      <c r="F3" s="42" t="s">
        <v>133</v>
      </c>
      <c r="G3" s="43">
        <v>6</v>
      </c>
      <c r="H3" s="44">
        <v>1075</v>
      </c>
      <c r="I3" s="45" t="s">
        <v>90</v>
      </c>
      <c r="J3" s="46">
        <v>6450</v>
      </c>
      <c r="K3" s="32">
        <v>6576.71</v>
      </c>
      <c r="L3" s="239">
        <v>0</v>
      </c>
      <c r="M3" s="265">
        <v>5500.71</v>
      </c>
      <c r="N3" s="32">
        <f aca="true" t="shared" si="0" ref="N3:N66">K3+L3</f>
        <v>6576.71</v>
      </c>
      <c r="O3" s="32">
        <f aca="true" t="shared" si="1" ref="O3:O66">J3-N3</f>
        <v>-126.71000000000004</v>
      </c>
      <c r="P3" t="s">
        <v>849</v>
      </c>
      <c r="R3" t="s">
        <v>131</v>
      </c>
      <c r="S3" t="s">
        <v>132</v>
      </c>
      <c r="T3" t="s">
        <v>133</v>
      </c>
      <c r="U3" s="32">
        <v>5500.71</v>
      </c>
    </row>
    <row r="4" spans="1:21" ht="13.5">
      <c r="A4" s="1" t="s">
        <v>503</v>
      </c>
      <c r="B4" s="33" t="s">
        <v>26</v>
      </c>
      <c r="C4" s="33" t="s">
        <v>59</v>
      </c>
      <c r="D4" s="40" t="s">
        <v>134</v>
      </c>
      <c r="E4" s="41" t="s">
        <v>135</v>
      </c>
      <c r="F4" s="42" t="s">
        <v>136</v>
      </c>
      <c r="G4" s="43">
        <v>6</v>
      </c>
      <c r="H4" s="44">
        <v>950</v>
      </c>
      <c r="I4" s="45" t="s">
        <v>90</v>
      </c>
      <c r="J4" s="46">
        <v>5700</v>
      </c>
      <c r="K4" s="32">
        <v>7610.13</v>
      </c>
      <c r="L4" s="238">
        <v>545</v>
      </c>
      <c r="M4" s="265">
        <v>6302.13</v>
      </c>
      <c r="N4" s="32">
        <f t="shared" si="0"/>
        <v>8155.13</v>
      </c>
      <c r="O4" s="32">
        <f t="shared" si="1"/>
        <v>-2455.13</v>
      </c>
      <c r="P4" t="s">
        <v>849</v>
      </c>
      <c r="R4" t="s">
        <v>134</v>
      </c>
      <c r="S4" t="s">
        <v>135</v>
      </c>
      <c r="T4" t="s">
        <v>136</v>
      </c>
      <c r="U4" s="32">
        <v>6302.13</v>
      </c>
    </row>
    <row r="5" spans="1:21" ht="13.5">
      <c r="A5" s="1" t="s">
        <v>503</v>
      </c>
      <c r="B5" s="33" t="s">
        <v>26</v>
      </c>
      <c r="C5" s="33" t="s">
        <v>58</v>
      </c>
      <c r="D5" s="40" t="s">
        <v>137</v>
      </c>
      <c r="E5" s="41" t="s">
        <v>138</v>
      </c>
      <c r="F5" s="42" t="s">
        <v>139</v>
      </c>
      <c r="G5" s="43">
        <v>8</v>
      </c>
      <c r="H5" s="47">
        <v>1800</v>
      </c>
      <c r="I5" s="45" t="s">
        <v>90</v>
      </c>
      <c r="J5" s="46">
        <v>14400</v>
      </c>
      <c r="K5" s="32">
        <v>4660.3</v>
      </c>
      <c r="L5" s="238">
        <v>1600</v>
      </c>
      <c r="M5" s="265">
        <v>3927</v>
      </c>
      <c r="N5" s="32">
        <f t="shared" si="0"/>
        <v>6260.3</v>
      </c>
      <c r="O5" s="32">
        <f t="shared" si="1"/>
        <v>8139.7</v>
      </c>
      <c r="P5" t="s">
        <v>849</v>
      </c>
      <c r="R5" t="s">
        <v>137</v>
      </c>
      <c r="S5" t="s">
        <v>138</v>
      </c>
      <c r="T5" t="s">
        <v>139</v>
      </c>
      <c r="U5" s="32">
        <v>3927</v>
      </c>
    </row>
    <row r="6" spans="1:21" ht="13.5">
      <c r="A6" s="1" t="s">
        <v>503</v>
      </c>
      <c r="B6" s="33" t="s">
        <v>26</v>
      </c>
      <c r="C6" s="33" t="s">
        <v>58</v>
      </c>
      <c r="D6" s="40" t="s">
        <v>140</v>
      </c>
      <c r="E6" s="41" t="s">
        <v>141</v>
      </c>
      <c r="F6" s="42" t="s">
        <v>142</v>
      </c>
      <c r="G6" s="43">
        <v>4</v>
      </c>
      <c r="H6" s="47">
        <v>1800</v>
      </c>
      <c r="I6" s="45" t="s">
        <v>90</v>
      </c>
      <c r="J6" s="46">
        <v>7200</v>
      </c>
      <c r="K6" s="32">
        <v>1411</v>
      </c>
      <c r="L6" s="238">
        <v>1200</v>
      </c>
      <c r="M6" s="265">
        <v>0</v>
      </c>
      <c r="N6" s="32">
        <f t="shared" si="0"/>
        <v>2611</v>
      </c>
      <c r="O6" s="32">
        <f t="shared" si="1"/>
        <v>4589</v>
      </c>
      <c r="P6" t="s">
        <v>849</v>
      </c>
      <c r="R6" t="s">
        <v>140</v>
      </c>
      <c r="S6" t="s">
        <v>141</v>
      </c>
      <c r="T6" t="s">
        <v>142</v>
      </c>
      <c r="U6" s="32">
        <v>0</v>
      </c>
    </row>
    <row r="7" spans="1:21" ht="13.5">
      <c r="A7" s="1" t="s">
        <v>503</v>
      </c>
      <c r="B7" s="33" t="s">
        <v>26</v>
      </c>
      <c r="C7" s="33" t="s">
        <v>58</v>
      </c>
      <c r="D7" s="40" t="s">
        <v>143</v>
      </c>
      <c r="E7" s="41" t="s">
        <v>144</v>
      </c>
      <c r="F7" s="42" t="s">
        <v>145</v>
      </c>
      <c r="G7" s="43">
        <v>4</v>
      </c>
      <c r="H7" s="47">
        <v>1800</v>
      </c>
      <c r="I7" s="45" t="s">
        <v>90</v>
      </c>
      <c r="J7" s="46">
        <v>7200</v>
      </c>
      <c r="K7" s="32">
        <v>1411</v>
      </c>
      <c r="L7" s="238">
        <v>0</v>
      </c>
      <c r="M7" s="265">
        <v>0</v>
      </c>
      <c r="N7" s="32">
        <f t="shared" si="0"/>
        <v>1411</v>
      </c>
      <c r="O7" s="32">
        <f t="shared" si="1"/>
        <v>5789</v>
      </c>
      <c r="P7" t="s">
        <v>849</v>
      </c>
      <c r="R7" t="s">
        <v>143</v>
      </c>
      <c r="S7" t="s">
        <v>144</v>
      </c>
      <c r="T7" t="s">
        <v>145</v>
      </c>
      <c r="U7" s="32">
        <v>0</v>
      </c>
    </row>
    <row r="8" spans="1:21" ht="13.5">
      <c r="A8" s="1" t="s">
        <v>503</v>
      </c>
      <c r="B8" s="33" t="s">
        <v>26</v>
      </c>
      <c r="C8" s="33" t="s">
        <v>59</v>
      </c>
      <c r="D8" s="40" t="s">
        <v>146</v>
      </c>
      <c r="E8" s="41" t="s">
        <v>147</v>
      </c>
      <c r="F8" s="42" t="s">
        <v>148</v>
      </c>
      <c r="G8" s="48">
        <v>12</v>
      </c>
      <c r="H8" s="49">
        <v>1000</v>
      </c>
      <c r="I8" s="45" t="s">
        <v>90</v>
      </c>
      <c r="J8" s="46">
        <v>12000</v>
      </c>
      <c r="K8" s="32">
        <v>4773.25</v>
      </c>
      <c r="L8" s="238">
        <v>500</v>
      </c>
      <c r="M8" s="265">
        <v>8016.19</v>
      </c>
      <c r="N8" s="32">
        <f t="shared" si="0"/>
        <v>5273.25</v>
      </c>
      <c r="O8" s="32">
        <f t="shared" si="1"/>
        <v>6726.75</v>
      </c>
      <c r="P8" t="s">
        <v>849</v>
      </c>
      <c r="R8" t="s">
        <v>146</v>
      </c>
      <c r="S8" t="s">
        <v>147</v>
      </c>
      <c r="T8" t="s">
        <v>148</v>
      </c>
      <c r="U8" s="32">
        <v>8016.19</v>
      </c>
    </row>
    <row r="9" spans="1:21" ht="13.5">
      <c r="A9" s="1" t="s">
        <v>503</v>
      </c>
      <c r="B9" s="33" t="s">
        <v>26</v>
      </c>
      <c r="C9" s="33" t="s">
        <v>59</v>
      </c>
      <c r="D9" s="40" t="s">
        <v>149</v>
      </c>
      <c r="E9" s="41" t="s">
        <v>150</v>
      </c>
      <c r="F9" s="42" t="s">
        <v>151</v>
      </c>
      <c r="G9" s="48">
        <v>12</v>
      </c>
      <c r="H9" s="49">
        <v>500</v>
      </c>
      <c r="I9" s="45" t="s">
        <v>90</v>
      </c>
      <c r="J9" s="46">
        <v>6000</v>
      </c>
      <c r="K9" s="32">
        <v>2918.2200000000003</v>
      </c>
      <c r="L9" s="238">
        <v>500</v>
      </c>
      <c r="M9" s="265">
        <v>4355.24</v>
      </c>
      <c r="N9" s="32">
        <f t="shared" si="0"/>
        <v>3418.2200000000003</v>
      </c>
      <c r="O9" s="32">
        <f t="shared" si="1"/>
        <v>2581.7799999999997</v>
      </c>
      <c r="P9" t="s">
        <v>849</v>
      </c>
      <c r="R9" t="s">
        <v>149</v>
      </c>
      <c r="S9" t="s">
        <v>150</v>
      </c>
      <c r="T9" t="s">
        <v>151</v>
      </c>
      <c r="U9" s="32">
        <v>4355.24</v>
      </c>
    </row>
    <row r="10" spans="1:21" ht="13.5">
      <c r="A10" s="1" t="s">
        <v>503</v>
      </c>
      <c r="B10" s="33" t="s">
        <v>26</v>
      </c>
      <c r="C10" s="33" t="s">
        <v>58</v>
      </c>
      <c r="D10" s="40" t="s">
        <v>152</v>
      </c>
      <c r="E10" s="41" t="s">
        <v>153</v>
      </c>
      <c r="F10" s="42" t="s">
        <v>154</v>
      </c>
      <c r="G10" s="48">
        <v>12</v>
      </c>
      <c r="H10" s="44">
        <f>J10/12</f>
        <v>950.4166666666666</v>
      </c>
      <c r="I10" s="45" t="s">
        <v>97</v>
      </c>
      <c r="J10" s="46">
        <v>11405</v>
      </c>
      <c r="K10" s="32">
        <v>1203.31</v>
      </c>
      <c r="M10" s="265">
        <v>7051.84</v>
      </c>
      <c r="N10" s="32">
        <f t="shared" si="0"/>
        <v>1203.31</v>
      </c>
      <c r="O10" s="32">
        <f t="shared" si="1"/>
        <v>10201.69</v>
      </c>
      <c r="P10" t="s">
        <v>849</v>
      </c>
      <c r="R10" t="s">
        <v>152</v>
      </c>
      <c r="S10" t="s">
        <v>153</v>
      </c>
      <c r="T10" t="s">
        <v>154</v>
      </c>
      <c r="U10" s="32">
        <v>7051.84</v>
      </c>
    </row>
    <row r="11" spans="1:21" ht="13.5">
      <c r="A11" s="1" t="s">
        <v>503</v>
      </c>
      <c r="B11" s="33" t="s">
        <v>26</v>
      </c>
      <c r="C11" s="33" t="s">
        <v>58</v>
      </c>
      <c r="D11" s="40" t="s">
        <v>155</v>
      </c>
      <c r="E11" s="41" t="s">
        <v>156</v>
      </c>
      <c r="F11" s="42" t="s">
        <v>157</v>
      </c>
      <c r="G11" s="48">
        <v>1</v>
      </c>
      <c r="H11" s="44">
        <v>6700</v>
      </c>
      <c r="I11" s="45" t="s">
        <v>97</v>
      </c>
      <c r="J11" s="46">
        <v>6700</v>
      </c>
      <c r="K11" s="32">
        <v>1759.1000000000001</v>
      </c>
      <c r="L11" s="238">
        <v>0</v>
      </c>
      <c r="M11" s="265">
        <v>1759.1000000000001</v>
      </c>
      <c r="N11" s="32">
        <f t="shared" si="0"/>
        <v>1759.1000000000001</v>
      </c>
      <c r="O11" s="32">
        <f t="shared" si="1"/>
        <v>4940.9</v>
      </c>
      <c r="P11" t="s">
        <v>849</v>
      </c>
      <c r="R11" t="s">
        <v>155</v>
      </c>
      <c r="S11" t="s">
        <v>156</v>
      </c>
      <c r="T11" t="s">
        <v>157</v>
      </c>
      <c r="U11" s="32">
        <v>1759.1000000000001</v>
      </c>
    </row>
    <row r="12" spans="1:21" ht="13.5">
      <c r="A12" s="1" t="s">
        <v>503</v>
      </c>
      <c r="B12" s="33" t="s">
        <v>26</v>
      </c>
      <c r="C12" s="33" t="s">
        <v>58</v>
      </c>
      <c r="D12" s="40" t="s">
        <v>158</v>
      </c>
      <c r="E12" s="41" t="s">
        <v>159</v>
      </c>
      <c r="F12" s="42" t="s">
        <v>160</v>
      </c>
      <c r="G12" s="48">
        <v>1</v>
      </c>
      <c r="H12" s="44">
        <v>2764</v>
      </c>
      <c r="I12" s="45" t="s">
        <v>97</v>
      </c>
      <c r="J12" s="46">
        <v>2764</v>
      </c>
      <c r="K12" s="32">
        <v>0</v>
      </c>
      <c r="L12" s="238">
        <v>0</v>
      </c>
      <c r="M12" s="265">
        <v>0</v>
      </c>
      <c r="N12" s="32">
        <f t="shared" si="0"/>
        <v>0</v>
      </c>
      <c r="O12" s="32">
        <f t="shared" si="1"/>
        <v>2764</v>
      </c>
      <c r="P12" t="s">
        <v>849</v>
      </c>
      <c r="R12" t="s">
        <v>158</v>
      </c>
      <c r="S12" t="s">
        <v>159</v>
      </c>
      <c r="T12" t="s">
        <v>160</v>
      </c>
      <c r="U12" s="32">
        <v>0</v>
      </c>
    </row>
    <row r="13" spans="1:21" ht="13.5">
      <c r="A13" s="1" t="s">
        <v>503</v>
      </c>
      <c r="B13" s="33" t="s">
        <v>26</v>
      </c>
      <c r="C13" s="33" t="s">
        <v>58</v>
      </c>
      <c r="D13" s="40" t="s">
        <v>161</v>
      </c>
      <c r="E13" s="41" t="s">
        <v>162</v>
      </c>
      <c r="F13" s="42" t="s">
        <v>163</v>
      </c>
      <c r="G13" s="48">
        <v>1</v>
      </c>
      <c r="H13" s="44"/>
      <c r="I13" s="45" t="s">
        <v>97</v>
      </c>
      <c r="J13" s="46">
        <v>0.001</v>
      </c>
      <c r="K13" s="32">
        <v>0</v>
      </c>
      <c r="L13" s="238">
        <v>1000</v>
      </c>
      <c r="M13" s="265">
        <v>0</v>
      </c>
      <c r="N13" s="32">
        <f t="shared" si="0"/>
        <v>1000</v>
      </c>
      <c r="O13" s="32">
        <f t="shared" si="1"/>
        <v>-999.999</v>
      </c>
      <c r="P13" t="s">
        <v>849</v>
      </c>
      <c r="R13" t="s">
        <v>161</v>
      </c>
      <c r="S13" t="s">
        <v>162</v>
      </c>
      <c r="T13" t="s">
        <v>163</v>
      </c>
      <c r="U13" s="32">
        <v>0</v>
      </c>
    </row>
    <row r="14" spans="1:21" ht="13.5">
      <c r="A14" s="1" t="s">
        <v>503</v>
      </c>
      <c r="B14" s="33" t="s">
        <v>26</v>
      </c>
      <c r="C14" s="33" t="s">
        <v>58</v>
      </c>
      <c r="D14" s="40" t="s">
        <v>164</v>
      </c>
      <c r="E14" s="41" t="s">
        <v>165</v>
      </c>
      <c r="F14" s="42" t="s">
        <v>166</v>
      </c>
      <c r="G14" s="48">
        <v>1</v>
      </c>
      <c r="H14" s="44">
        <v>2400</v>
      </c>
      <c r="I14" s="45" t="s">
        <v>97</v>
      </c>
      <c r="J14" s="46">
        <v>2400</v>
      </c>
      <c r="K14" s="32">
        <v>872.22</v>
      </c>
      <c r="L14" s="238">
        <v>200</v>
      </c>
      <c r="M14" s="265">
        <v>1063</v>
      </c>
      <c r="N14" s="32">
        <f t="shared" si="0"/>
        <v>1072.22</v>
      </c>
      <c r="O14" s="32">
        <f t="shared" si="1"/>
        <v>1327.78</v>
      </c>
      <c r="P14" t="s">
        <v>849</v>
      </c>
      <c r="R14" t="s">
        <v>164</v>
      </c>
      <c r="S14" t="s">
        <v>165</v>
      </c>
      <c r="T14" t="s">
        <v>166</v>
      </c>
      <c r="U14" s="32">
        <v>1063</v>
      </c>
    </row>
    <row r="15" spans="1:21" ht="13.5">
      <c r="A15" s="1" t="s">
        <v>503</v>
      </c>
      <c r="B15" s="33" t="s">
        <v>27</v>
      </c>
      <c r="C15" s="33" t="s">
        <v>852</v>
      </c>
      <c r="D15" s="40" t="s">
        <v>167</v>
      </c>
      <c r="E15" s="41" t="s">
        <v>168</v>
      </c>
      <c r="F15" s="42" t="s">
        <v>169</v>
      </c>
      <c r="G15" s="50">
        <v>3</v>
      </c>
      <c r="H15" s="44">
        <v>4200</v>
      </c>
      <c r="I15" s="45" t="s">
        <v>90</v>
      </c>
      <c r="J15" s="46">
        <v>12600</v>
      </c>
      <c r="K15" s="32">
        <v>6142.469999999999</v>
      </c>
      <c r="L15" s="238">
        <v>0</v>
      </c>
      <c r="M15" s="265">
        <v>13732.21</v>
      </c>
      <c r="N15" s="32">
        <f t="shared" si="0"/>
        <v>6142.469999999999</v>
      </c>
      <c r="O15" s="32">
        <f t="shared" si="1"/>
        <v>6457.530000000001</v>
      </c>
      <c r="P15" t="s">
        <v>866</v>
      </c>
      <c r="R15" t="s">
        <v>167</v>
      </c>
      <c r="S15" t="s">
        <v>168</v>
      </c>
      <c r="T15" t="s">
        <v>169</v>
      </c>
      <c r="U15" s="32">
        <v>13732.21</v>
      </c>
    </row>
    <row r="16" spans="1:21" ht="13.5">
      <c r="A16" s="1" t="s">
        <v>503</v>
      </c>
      <c r="B16" s="33" t="s">
        <v>27</v>
      </c>
      <c r="C16" s="33" t="s">
        <v>59</v>
      </c>
      <c r="D16" s="40" t="s">
        <v>170</v>
      </c>
      <c r="E16" s="41" t="s">
        <v>171</v>
      </c>
      <c r="F16" s="42" t="s">
        <v>172</v>
      </c>
      <c r="G16" s="50">
        <v>3</v>
      </c>
      <c r="H16" s="44">
        <v>3500</v>
      </c>
      <c r="I16" s="45" t="s">
        <v>90</v>
      </c>
      <c r="J16" s="46">
        <v>10500</v>
      </c>
      <c r="K16" s="32">
        <v>7496.53</v>
      </c>
      <c r="L16" s="238">
        <v>0</v>
      </c>
      <c r="M16" s="265">
        <v>10834.92</v>
      </c>
      <c r="N16" s="32">
        <f t="shared" si="0"/>
        <v>7496.53</v>
      </c>
      <c r="O16" s="32">
        <f t="shared" si="1"/>
        <v>3003.4700000000003</v>
      </c>
      <c r="P16" s="1" t="s">
        <v>866</v>
      </c>
      <c r="R16" t="s">
        <v>170</v>
      </c>
      <c r="S16" t="s">
        <v>171</v>
      </c>
      <c r="T16" t="s">
        <v>172</v>
      </c>
      <c r="U16" s="32">
        <v>10834.92</v>
      </c>
    </row>
    <row r="17" spans="1:21" ht="13.5">
      <c r="A17" s="1" t="s">
        <v>503</v>
      </c>
      <c r="B17" s="33" t="s">
        <v>27</v>
      </c>
      <c r="C17" s="33" t="s">
        <v>59</v>
      </c>
      <c r="D17" s="40" t="s">
        <v>173</v>
      </c>
      <c r="E17" s="41" t="s">
        <v>174</v>
      </c>
      <c r="F17" s="42" t="s">
        <v>175</v>
      </c>
      <c r="G17" s="50">
        <v>3</v>
      </c>
      <c r="H17" s="44">
        <v>2000</v>
      </c>
      <c r="I17" s="45" t="s">
        <v>90</v>
      </c>
      <c r="J17" s="46">
        <v>6000</v>
      </c>
      <c r="K17" s="32">
        <v>3989</v>
      </c>
      <c r="L17" s="238">
        <v>0</v>
      </c>
      <c r="M17" s="265">
        <v>3989</v>
      </c>
      <c r="N17" s="32">
        <f t="shared" si="0"/>
        <v>3989</v>
      </c>
      <c r="O17" s="32">
        <f t="shared" si="1"/>
        <v>2011</v>
      </c>
      <c r="P17" s="1" t="s">
        <v>866</v>
      </c>
      <c r="R17" t="s">
        <v>173</v>
      </c>
      <c r="S17" t="s">
        <v>174</v>
      </c>
      <c r="T17" t="s">
        <v>175</v>
      </c>
      <c r="U17" s="32">
        <v>3989</v>
      </c>
    </row>
    <row r="18" spans="1:21" ht="13.5">
      <c r="A18" s="1" t="s">
        <v>503</v>
      </c>
      <c r="B18" s="33" t="s">
        <v>27</v>
      </c>
      <c r="C18" s="33" t="s">
        <v>59</v>
      </c>
      <c r="D18" s="40" t="s">
        <v>176</v>
      </c>
      <c r="E18" s="41" t="s">
        <v>177</v>
      </c>
      <c r="F18" s="42" t="s">
        <v>178</v>
      </c>
      <c r="G18" s="50">
        <v>1</v>
      </c>
      <c r="H18" s="44">
        <v>4400</v>
      </c>
      <c r="I18" s="45" t="s">
        <v>179</v>
      </c>
      <c r="J18" s="46">
        <v>4400</v>
      </c>
      <c r="K18" s="32">
        <v>2994.54</v>
      </c>
      <c r="L18" s="238">
        <v>1500</v>
      </c>
      <c r="M18" s="265">
        <v>2600.58</v>
      </c>
      <c r="N18" s="32">
        <f t="shared" si="0"/>
        <v>4494.54</v>
      </c>
      <c r="O18" s="32">
        <f t="shared" si="1"/>
        <v>-94.53999999999996</v>
      </c>
      <c r="P18" t="s">
        <v>849</v>
      </c>
      <c r="R18" t="s">
        <v>176</v>
      </c>
      <c r="S18" t="s">
        <v>177</v>
      </c>
      <c r="T18" t="s">
        <v>178</v>
      </c>
      <c r="U18" s="32">
        <v>2600.58</v>
      </c>
    </row>
    <row r="19" spans="1:21" ht="13.5">
      <c r="A19" s="1" t="s">
        <v>503</v>
      </c>
      <c r="B19" s="33" t="s">
        <v>27</v>
      </c>
      <c r="C19" s="33" t="s">
        <v>59</v>
      </c>
      <c r="D19" s="40" t="s">
        <v>180</v>
      </c>
      <c r="E19" s="41" t="s">
        <v>181</v>
      </c>
      <c r="F19" s="42" t="s">
        <v>182</v>
      </c>
      <c r="G19" s="50">
        <v>20</v>
      </c>
      <c r="H19" s="44">
        <v>22</v>
      </c>
      <c r="I19" s="45" t="s">
        <v>183</v>
      </c>
      <c r="J19" s="46">
        <v>440</v>
      </c>
      <c r="K19" s="32">
        <v>0</v>
      </c>
      <c r="L19" s="238">
        <v>373</v>
      </c>
      <c r="M19" s="265">
        <v>396.89</v>
      </c>
      <c r="N19" s="32">
        <f t="shared" si="0"/>
        <v>373</v>
      </c>
      <c r="O19" s="32">
        <f t="shared" si="1"/>
        <v>67</v>
      </c>
      <c r="P19" t="s">
        <v>849</v>
      </c>
      <c r="R19" t="s">
        <v>180</v>
      </c>
      <c r="S19" t="s">
        <v>181</v>
      </c>
      <c r="T19" t="s">
        <v>182</v>
      </c>
      <c r="U19" s="32">
        <v>396.89</v>
      </c>
    </row>
    <row r="20" spans="1:21" ht="13.5">
      <c r="A20" s="1" t="s">
        <v>503</v>
      </c>
      <c r="B20" s="33" t="s">
        <v>27</v>
      </c>
      <c r="C20" s="33" t="s">
        <v>852</v>
      </c>
      <c r="D20" s="40" t="s">
        <v>184</v>
      </c>
      <c r="E20" s="41" t="s">
        <v>185</v>
      </c>
      <c r="F20" s="42" t="s">
        <v>186</v>
      </c>
      <c r="G20" s="50">
        <v>20</v>
      </c>
      <c r="H20" s="44">
        <v>140</v>
      </c>
      <c r="I20" s="45" t="s">
        <v>183</v>
      </c>
      <c r="J20" s="46">
        <v>2800</v>
      </c>
      <c r="K20" s="32">
        <v>8112.41</v>
      </c>
      <c r="M20" s="265">
        <v>2818.63</v>
      </c>
      <c r="N20" s="32">
        <f t="shared" si="0"/>
        <v>8112.41</v>
      </c>
      <c r="O20" s="32">
        <f t="shared" si="1"/>
        <v>-5312.41</v>
      </c>
      <c r="P20" t="s">
        <v>849</v>
      </c>
      <c r="R20" t="s">
        <v>184</v>
      </c>
      <c r="S20" t="s">
        <v>185</v>
      </c>
      <c r="T20" t="s">
        <v>186</v>
      </c>
      <c r="U20" s="32">
        <v>2818.63</v>
      </c>
    </row>
    <row r="21" spans="1:21" ht="33">
      <c r="A21" s="1" t="s">
        <v>503</v>
      </c>
      <c r="B21" s="191" t="s">
        <v>34</v>
      </c>
      <c r="C21" s="33" t="s">
        <v>48</v>
      </c>
      <c r="D21" s="40" t="s">
        <v>187</v>
      </c>
      <c r="E21" s="41" t="s">
        <v>188</v>
      </c>
      <c r="F21" s="42" t="s">
        <v>189</v>
      </c>
      <c r="G21" s="50">
        <v>5</v>
      </c>
      <c r="H21" s="44">
        <v>3200</v>
      </c>
      <c r="I21" s="45" t="s">
        <v>90</v>
      </c>
      <c r="J21" s="46">
        <v>16000</v>
      </c>
      <c r="K21" s="32">
        <v>18160.91</v>
      </c>
      <c r="L21" s="238">
        <v>0</v>
      </c>
      <c r="M21" s="265">
        <v>16000</v>
      </c>
      <c r="N21" s="32">
        <f t="shared" si="0"/>
        <v>18160.91</v>
      </c>
      <c r="O21" s="32">
        <f t="shared" si="1"/>
        <v>-2160.91</v>
      </c>
      <c r="P21" t="s">
        <v>849</v>
      </c>
      <c r="R21" t="s">
        <v>187</v>
      </c>
      <c r="S21" t="s">
        <v>188</v>
      </c>
      <c r="T21" t="s">
        <v>189</v>
      </c>
      <c r="U21" s="32">
        <v>16000</v>
      </c>
    </row>
    <row r="22" spans="1:21" ht="33">
      <c r="A22" s="1" t="s">
        <v>503</v>
      </c>
      <c r="B22" s="191" t="s">
        <v>34</v>
      </c>
      <c r="C22" s="33" t="s">
        <v>48</v>
      </c>
      <c r="D22" s="40" t="s">
        <v>190</v>
      </c>
      <c r="E22" s="41" t="s">
        <v>191</v>
      </c>
      <c r="F22" s="42" t="s">
        <v>192</v>
      </c>
      <c r="G22" s="50">
        <v>12</v>
      </c>
      <c r="H22" s="44">
        <v>300</v>
      </c>
      <c r="I22" s="45" t="s">
        <v>90</v>
      </c>
      <c r="J22" s="46">
        <v>3600</v>
      </c>
      <c r="K22" s="32">
        <v>212.73999999999998</v>
      </c>
      <c r="L22" s="238">
        <v>0</v>
      </c>
      <c r="M22" s="265">
        <v>4102.280000000001</v>
      </c>
      <c r="N22" s="32">
        <f t="shared" si="0"/>
        <v>212.73999999999998</v>
      </c>
      <c r="O22" s="32">
        <f t="shared" si="1"/>
        <v>3387.26</v>
      </c>
      <c r="P22" t="s">
        <v>849</v>
      </c>
      <c r="R22" t="s">
        <v>190</v>
      </c>
      <c r="S22" t="s">
        <v>191</v>
      </c>
      <c r="T22" t="s">
        <v>192</v>
      </c>
      <c r="U22" s="32">
        <v>4102.280000000001</v>
      </c>
    </row>
    <row r="23" spans="1:21" ht="33">
      <c r="A23" s="1" t="s">
        <v>503</v>
      </c>
      <c r="B23" s="191" t="s">
        <v>34</v>
      </c>
      <c r="C23" s="33" t="s">
        <v>48</v>
      </c>
      <c r="D23" s="40" t="s">
        <v>193</v>
      </c>
      <c r="E23" s="41" t="s">
        <v>194</v>
      </c>
      <c r="F23" s="42" t="s">
        <v>195</v>
      </c>
      <c r="G23" s="50">
        <v>12</v>
      </c>
      <c r="H23" s="44">
        <f>J23/G23</f>
        <v>166.66666666666666</v>
      </c>
      <c r="I23" s="45" t="s">
        <v>90</v>
      </c>
      <c r="J23" s="46">
        <v>2000</v>
      </c>
      <c r="K23" s="32">
        <v>1163.67</v>
      </c>
      <c r="L23" s="238">
        <v>1000</v>
      </c>
      <c r="M23" s="265">
        <v>1306.8400000000001</v>
      </c>
      <c r="N23" s="32">
        <f t="shared" si="0"/>
        <v>2163.67</v>
      </c>
      <c r="O23" s="32">
        <f t="shared" si="1"/>
        <v>-163.67000000000007</v>
      </c>
      <c r="P23" t="s">
        <v>849</v>
      </c>
      <c r="R23" t="s">
        <v>193</v>
      </c>
      <c r="S23" t="s">
        <v>194</v>
      </c>
      <c r="T23" t="s">
        <v>195</v>
      </c>
      <c r="U23" s="32">
        <v>1306.8400000000001</v>
      </c>
    </row>
    <row r="24" spans="1:21" ht="13.5">
      <c r="A24" s="1" t="s">
        <v>503</v>
      </c>
      <c r="B24" s="33" t="s">
        <v>28</v>
      </c>
      <c r="C24" s="33" t="s">
        <v>48</v>
      </c>
      <c r="D24" s="40" t="s">
        <v>196</v>
      </c>
      <c r="E24" s="41" t="s">
        <v>197</v>
      </c>
      <c r="F24" s="42" t="s">
        <v>198</v>
      </c>
      <c r="G24" s="50">
        <v>130</v>
      </c>
      <c r="H24" s="44">
        <v>50</v>
      </c>
      <c r="I24" s="45" t="s">
        <v>97</v>
      </c>
      <c r="J24" s="46">
        <v>6000</v>
      </c>
      <c r="K24" s="32">
        <v>4738.21</v>
      </c>
      <c r="L24" s="238">
        <v>4000</v>
      </c>
      <c r="M24" s="265">
        <v>9123.41</v>
      </c>
      <c r="N24" s="32">
        <f t="shared" si="0"/>
        <v>8738.21</v>
      </c>
      <c r="O24" s="32">
        <f t="shared" si="1"/>
        <v>-2738.209999999999</v>
      </c>
      <c r="P24" t="s">
        <v>849</v>
      </c>
      <c r="R24" t="s">
        <v>196</v>
      </c>
      <c r="S24" t="s">
        <v>197</v>
      </c>
      <c r="T24" t="s">
        <v>198</v>
      </c>
      <c r="U24" s="32">
        <v>9123.41</v>
      </c>
    </row>
    <row r="25" spans="1:21" ht="13.5">
      <c r="A25" s="1" t="s">
        <v>503</v>
      </c>
      <c r="B25" s="33" t="s">
        <v>26</v>
      </c>
      <c r="C25" s="33" t="s">
        <v>48</v>
      </c>
      <c r="D25" s="40" t="s">
        <v>199</v>
      </c>
      <c r="E25" s="41" t="s">
        <v>200</v>
      </c>
      <c r="F25" s="42" t="s">
        <v>201</v>
      </c>
      <c r="G25" s="50">
        <v>5</v>
      </c>
      <c r="H25" s="44">
        <v>800</v>
      </c>
      <c r="I25" s="45" t="s">
        <v>90</v>
      </c>
      <c r="J25" s="46">
        <v>4000</v>
      </c>
      <c r="K25" s="32">
        <v>3598</v>
      </c>
      <c r="L25" s="238">
        <v>1000</v>
      </c>
      <c r="M25" s="265">
        <v>5931</v>
      </c>
      <c r="N25" s="32">
        <f t="shared" si="0"/>
        <v>4598</v>
      </c>
      <c r="O25" s="32">
        <f t="shared" si="1"/>
        <v>-598</v>
      </c>
      <c r="P25" t="s">
        <v>849</v>
      </c>
      <c r="R25" t="s">
        <v>199</v>
      </c>
      <c r="S25" t="s">
        <v>200</v>
      </c>
      <c r="T25" t="s">
        <v>201</v>
      </c>
      <c r="U25" s="32">
        <v>5931</v>
      </c>
    </row>
    <row r="26" spans="1:21" ht="13.5">
      <c r="A26" s="1" t="s">
        <v>503</v>
      </c>
      <c r="B26" s="33" t="s">
        <v>26</v>
      </c>
      <c r="C26" s="33" t="s">
        <v>48</v>
      </c>
      <c r="D26" s="40" t="s">
        <v>202</v>
      </c>
      <c r="E26" s="41" t="s">
        <v>203</v>
      </c>
      <c r="F26" s="42" t="s">
        <v>204</v>
      </c>
      <c r="G26" s="50">
        <v>12</v>
      </c>
      <c r="H26" s="44">
        <v>1000</v>
      </c>
      <c r="I26" s="45" t="s">
        <v>90</v>
      </c>
      <c r="J26" s="46">
        <v>12000</v>
      </c>
      <c r="K26" s="32">
        <v>7107.09</v>
      </c>
      <c r="L26" s="238">
        <v>500</v>
      </c>
      <c r="M26" s="265">
        <v>5258.09</v>
      </c>
      <c r="N26" s="32">
        <f t="shared" si="0"/>
        <v>7607.09</v>
      </c>
      <c r="O26" s="32">
        <f t="shared" si="1"/>
        <v>4392.91</v>
      </c>
      <c r="P26" t="s">
        <v>849</v>
      </c>
      <c r="R26" t="s">
        <v>202</v>
      </c>
      <c r="S26" t="s">
        <v>203</v>
      </c>
      <c r="T26" t="s">
        <v>204</v>
      </c>
      <c r="U26" s="32">
        <v>5258.09</v>
      </c>
    </row>
    <row r="27" spans="1:21" ht="33">
      <c r="A27" s="1" t="s">
        <v>503</v>
      </c>
      <c r="B27" s="191" t="s">
        <v>34</v>
      </c>
      <c r="C27" s="33" t="s">
        <v>48</v>
      </c>
      <c r="D27" s="40" t="s">
        <v>205</v>
      </c>
      <c r="E27" s="41" t="s">
        <v>206</v>
      </c>
      <c r="F27" s="42" t="s">
        <v>207</v>
      </c>
      <c r="G27" s="50">
        <v>12</v>
      </c>
      <c r="H27" s="44">
        <v>500</v>
      </c>
      <c r="I27" s="45" t="s">
        <v>90</v>
      </c>
      <c r="J27" s="46">
        <v>6000</v>
      </c>
      <c r="K27" s="32">
        <v>5508.359999999999</v>
      </c>
      <c r="L27" s="238">
        <v>250</v>
      </c>
      <c r="M27" s="265">
        <v>4816.49</v>
      </c>
      <c r="N27" s="32">
        <f t="shared" si="0"/>
        <v>5758.359999999999</v>
      </c>
      <c r="O27" s="32">
        <f t="shared" si="1"/>
        <v>241.64000000000124</v>
      </c>
      <c r="P27" s="1" t="s">
        <v>866</v>
      </c>
      <c r="R27" t="s">
        <v>205</v>
      </c>
      <c r="S27" t="s">
        <v>206</v>
      </c>
      <c r="T27" t="s">
        <v>207</v>
      </c>
      <c r="U27" s="32">
        <v>4816.49</v>
      </c>
    </row>
    <row r="28" spans="1:21" ht="13.5">
      <c r="A28" s="1" t="s">
        <v>503</v>
      </c>
      <c r="B28" s="33" t="s">
        <v>28</v>
      </c>
      <c r="C28" s="33" t="s">
        <v>48</v>
      </c>
      <c r="D28" s="40" t="s">
        <v>208</v>
      </c>
      <c r="E28" s="41" t="s">
        <v>209</v>
      </c>
      <c r="F28" s="42" t="s">
        <v>210</v>
      </c>
      <c r="G28" s="50">
        <v>2</v>
      </c>
      <c r="H28" s="44">
        <v>1000</v>
      </c>
      <c r="I28" s="45" t="s">
        <v>97</v>
      </c>
      <c r="J28" s="46">
        <v>2000</v>
      </c>
      <c r="K28" s="32">
        <v>2161.74</v>
      </c>
      <c r="L28" s="238">
        <v>1500</v>
      </c>
      <c r="M28" s="265">
        <v>1945.0299999999997</v>
      </c>
      <c r="N28" s="32">
        <f t="shared" si="0"/>
        <v>3661.74</v>
      </c>
      <c r="O28" s="32">
        <f t="shared" si="1"/>
        <v>-1661.7399999999998</v>
      </c>
      <c r="P28" t="s">
        <v>849</v>
      </c>
      <c r="R28" t="s">
        <v>208</v>
      </c>
      <c r="S28" t="s">
        <v>209</v>
      </c>
      <c r="T28" t="s">
        <v>210</v>
      </c>
      <c r="U28" s="32">
        <v>1945.0299999999997</v>
      </c>
    </row>
    <row r="29" spans="1:21" ht="13.5">
      <c r="A29" s="1" t="s">
        <v>503</v>
      </c>
      <c r="B29" s="33" t="s">
        <v>28</v>
      </c>
      <c r="C29" s="33" t="s">
        <v>48</v>
      </c>
      <c r="D29" s="40" t="s">
        <v>211</v>
      </c>
      <c r="E29" s="41" t="s">
        <v>212</v>
      </c>
      <c r="F29" s="42" t="s">
        <v>213</v>
      </c>
      <c r="G29" s="50">
        <v>2</v>
      </c>
      <c r="H29" s="44">
        <v>500</v>
      </c>
      <c r="I29" s="45" t="s">
        <v>97</v>
      </c>
      <c r="J29" s="46">
        <v>1000</v>
      </c>
      <c r="K29" s="32">
        <v>0</v>
      </c>
      <c r="L29" s="238">
        <v>0</v>
      </c>
      <c r="M29" s="265">
        <v>0</v>
      </c>
      <c r="N29" s="32">
        <f t="shared" si="0"/>
        <v>0</v>
      </c>
      <c r="O29" s="32">
        <f t="shared" si="1"/>
        <v>1000</v>
      </c>
      <c r="P29" s="1" t="s">
        <v>866</v>
      </c>
      <c r="R29" t="s">
        <v>211</v>
      </c>
      <c r="S29" t="s">
        <v>212</v>
      </c>
      <c r="T29" t="s">
        <v>213</v>
      </c>
      <c r="U29" s="32">
        <v>0</v>
      </c>
    </row>
    <row r="30" spans="1:21" ht="13.5">
      <c r="A30" s="1" t="s">
        <v>503</v>
      </c>
      <c r="B30" s="33" t="s">
        <v>28</v>
      </c>
      <c r="C30" s="33" t="s">
        <v>48</v>
      </c>
      <c r="D30" s="40" t="s">
        <v>214</v>
      </c>
      <c r="E30" s="41" t="s">
        <v>215</v>
      </c>
      <c r="F30" s="42" t="s">
        <v>216</v>
      </c>
      <c r="G30" s="50">
        <v>1</v>
      </c>
      <c r="H30" s="44">
        <v>4000</v>
      </c>
      <c r="I30" s="45" t="s">
        <v>97</v>
      </c>
      <c r="J30" s="46">
        <v>4000</v>
      </c>
      <c r="K30" s="32">
        <v>4417.3</v>
      </c>
      <c r="L30" s="238">
        <v>2500</v>
      </c>
      <c r="M30" s="265">
        <v>8059.469999999999</v>
      </c>
      <c r="N30" s="32">
        <f t="shared" si="0"/>
        <v>6917.3</v>
      </c>
      <c r="O30" s="32">
        <f t="shared" si="1"/>
        <v>-2917.3</v>
      </c>
      <c r="P30" t="s">
        <v>849</v>
      </c>
      <c r="R30" t="s">
        <v>214</v>
      </c>
      <c r="S30" t="s">
        <v>215</v>
      </c>
      <c r="T30" t="s">
        <v>216</v>
      </c>
      <c r="U30" s="32">
        <v>8059.469999999999</v>
      </c>
    </row>
    <row r="31" spans="1:21" ht="33">
      <c r="A31" s="1" t="s">
        <v>503</v>
      </c>
      <c r="B31" s="191" t="s">
        <v>34</v>
      </c>
      <c r="C31" s="33" t="s">
        <v>48</v>
      </c>
      <c r="D31" s="40" t="s">
        <v>217</v>
      </c>
      <c r="E31" s="41" t="s">
        <v>218</v>
      </c>
      <c r="F31" s="42" t="s">
        <v>195</v>
      </c>
      <c r="G31" s="50">
        <v>12</v>
      </c>
      <c r="H31" s="44">
        <f>J31/G31</f>
        <v>166.66666666666666</v>
      </c>
      <c r="I31" s="45" t="s">
        <v>90</v>
      </c>
      <c r="J31" s="46">
        <v>2000</v>
      </c>
      <c r="K31" s="32">
        <v>1664</v>
      </c>
      <c r="M31" s="265">
        <v>1031.33</v>
      </c>
      <c r="N31" s="32">
        <f t="shared" si="0"/>
        <v>1664</v>
      </c>
      <c r="O31" s="32">
        <f t="shared" si="1"/>
        <v>336</v>
      </c>
      <c r="P31" s="1" t="s">
        <v>866</v>
      </c>
      <c r="R31" t="s">
        <v>217</v>
      </c>
      <c r="S31" t="s">
        <v>218</v>
      </c>
      <c r="T31" t="s">
        <v>195</v>
      </c>
      <c r="U31" s="32">
        <v>1031.33</v>
      </c>
    </row>
    <row r="32" spans="1:21" ht="13.5">
      <c r="A32" s="1" t="s">
        <v>503</v>
      </c>
      <c r="B32" s="33" t="s">
        <v>28</v>
      </c>
      <c r="C32" s="33" t="s">
        <v>48</v>
      </c>
      <c r="D32" s="40" t="s">
        <v>219</v>
      </c>
      <c r="E32" s="41" t="s">
        <v>220</v>
      </c>
      <c r="F32" s="42" t="s">
        <v>221</v>
      </c>
      <c r="G32" s="50">
        <v>80</v>
      </c>
      <c r="H32" s="44">
        <v>50</v>
      </c>
      <c r="I32" s="45" t="s">
        <v>97</v>
      </c>
      <c r="J32" s="46">
        <v>4000</v>
      </c>
      <c r="K32" s="32">
        <v>1087.71</v>
      </c>
      <c r="L32" s="238">
        <v>2500</v>
      </c>
      <c r="M32" s="265">
        <v>5973.29</v>
      </c>
      <c r="N32" s="32">
        <f t="shared" si="0"/>
        <v>3587.71</v>
      </c>
      <c r="O32" s="32">
        <f t="shared" si="1"/>
        <v>412.28999999999996</v>
      </c>
      <c r="P32" s="1" t="s">
        <v>866</v>
      </c>
      <c r="R32" t="s">
        <v>219</v>
      </c>
      <c r="S32" t="s">
        <v>220</v>
      </c>
      <c r="T32" t="s">
        <v>221</v>
      </c>
      <c r="U32" s="32">
        <v>5973.29</v>
      </c>
    </row>
    <row r="33" spans="1:21" ht="13.5">
      <c r="A33" s="1" t="s">
        <v>503</v>
      </c>
      <c r="B33" s="33" t="s">
        <v>26</v>
      </c>
      <c r="C33" s="33" t="s">
        <v>48</v>
      </c>
      <c r="D33" s="40" t="s">
        <v>222</v>
      </c>
      <c r="E33" s="41" t="s">
        <v>223</v>
      </c>
      <c r="F33" s="42" t="s">
        <v>224</v>
      </c>
      <c r="G33" s="50">
        <v>5</v>
      </c>
      <c r="H33" s="44">
        <v>800</v>
      </c>
      <c r="I33" s="45" t="s">
        <v>90</v>
      </c>
      <c r="J33" s="46">
        <v>4000</v>
      </c>
      <c r="K33" s="32">
        <v>1304</v>
      </c>
      <c r="M33" s="265">
        <v>3517</v>
      </c>
      <c r="N33" s="32">
        <f t="shared" si="0"/>
        <v>1304</v>
      </c>
      <c r="O33" s="32">
        <f t="shared" si="1"/>
        <v>2696</v>
      </c>
      <c r="P33" s="1" t="s">
        <v>849</v>
      </c>
      <c r="R33" t="s">
        <v>222</v>
      </c>
      <c r="S33" t="s">
        <v>223</v>
      </c>
      <c r="T33" t="s">
        <v>224</v>
      </c>
      <c r="U33" s="32">
        <v>3517</v>
      </c>
    </row>
    <row r="34" spans="1:21" ht="13.5">
      <c r="A34" s="1" t="s">
        <v>503</v>
      </c>
      <c r="B34" s="33" t="s">
        <v>28</v>
      </c>
      <c r="C34" s="33" t="s">
        <v>48</v>
      </c>
      <c r="D34" s="40" t="s">
        <v>225</v>
      </c>
      <c r="E34" s="41" t="s">
        <v>226</v>
      </c>
      <c r="F34" s="42" t="s">
        <v>227</v>
      </c>
      <c r="G34" s="50">
        <v>1</v>
      </c>
      <c r="H34" s="44">
        <v>1000</v>
      </c>
      <c r="I34" s="45" t="s">
        <v>97</v>
      </c>
      <c r="J34" s="46">
        <v>1000</v>
      </c>
      <c r="K34" s="32">
        <v>1073.59</v>
      </c>
      <c r="L34" s="238">
        <v>1500</v>
      </c>
      <c r="M34" s="265">
        <v>802.4100000000001</v>
      </c>
      <c r="N34" s="32">
        <f t="shared" si="0"/>
        <v>2573.59</v>
      </c>
      <c r="O34" s="32">
        <f t="shared" si="1"/>
        <v>-1573.5900000000001</v>
      </c>
      <c r="P34" t="s">
        <v>849</v>
      </c>
      <c r="R34" t="s">
        <v>225</v>
      </c>
      <c r="S34" t="s">
        <v>226</v>
      </c>
      <c r="T34" t="s">
        <v>227</v>
      </c>
      <c r="U34" s="32">
        <v>802.4100000000001</v>
      </c>
    </row>
    <row r="35" spans="1:21" ht="13.5">
      <c r="A35" s="1" t="s">
        <v>503</v>
      </c>
      <c r="B35" s="33" t="s">
        <v>28</v>
      </c>
      <c r="C35" s="33" t="s">
        <v>48</v>
      </c>
      <c r="D35" s="40" t="s">
        <v>228</v>
      </c>
      <c r="E35" s="41" t="s">
        <v>229</v>
      </c>
      <c r="F35" s="42" t="s">
        <v>213</v>
      </c>
      <c r="G35" s="50">
        <v>1</v>
      </c>
      <c r="H35" s="44">
        <v>500</v>
      </c>
      <c r="I35" s="45" t="s">
        <v>97</v>
      </c>
      <c r="J35" s="46">
        <v>1000</v>
      </c>
      <c r="K35" s="32">
        <v>0</v>
      </c>
      <c r="L35" s="238">
        <v>1000</v>
      </c>
      <c r="M35" s="265">
        <v>0</v>
      </c>
      <c r="N35" s="32">
        <f t="shared" si="0"/>
        <v>1000</v>
      </c>
      <c r="O35" s="32">
        <f t="shared" si="1"/>
        <v>0</v>
      </c>
      <c r="P35" s="1" t="s">
        <v>866</v>
      </c>
      <c r="R35" t="s">
        <v>228</v>
      </c>
      <c r="S35" t="s">
        <v>229</v>
      </c>
      <c r="T35" t="s">
        <v>213</v>
      </c>
      <c r="U35" s="32">
        <v>0</v>
      </c>
    </row>
    <row r="36" spans="1:21" ht="13.5">
      <c r="A36" s="1" t="s">
        <v>503</v>
      </c>
      <c r="B36" s="33" t="s">
        <v>28</v>
      </c>
      <c r="C36" s="33" t="s">
        <v>48</v>
      </c>
      <c r="D36" s="40" t="s">
        <v>230</v>
      </c>
      <c r="E36" s="41" t="s">
        <v>231</v>
      </c>
      <c r="F36" s="42" t="s">
        <v>232</v>
      </c>
      <c r="G36" s="50">
        <v>1</v>
      </c>
      <c r="H36" s="44">
        <v>4000</v>
      </c>
      <c r="I36" s="45" t="s">
        <v>97</v>
      </c>
      <c r="J36" s="46">
        <v>4000</v>
      </c>
      <c r="K36" s="32">
        <v>2061.88</v>
      </c>
      <c r="L36" s="238">
        <v>2500</v>
      </c>
      <c r="M36" s="265">
        <v>5238.070000000001</v>
      </c>
      <c r="N36" s="32">
        <f t="shared" si="0"/>
        <v>4561.88</v>
      </c>
      <c r="O36" s="32">
        <f t="shared" si="1"/>
        <v>-561.8800000000001</v>
      </c>
      <c r="P36" t="s">
        <v>849</v>
      </c>
      <c r="R36" t="s">
        <v>230</v>
      </c>
      <c r="S36" t="s">
        <v>231</v>
      </c>
      <c r="T36" t="s">
        <v>232</v>
      </c>
      <c r="U36" s="32">
        <v>5238.070000000001</v>
      </c>
    </row>
    <row r="37" spans="1:21" ht="33">
      <c r="A37" s="1" t="s">
        <v>503</v>
      </c>
      <c r="B37" s="191" t="s">
        <v>34</v>
      </c>
      <c r="C37" s="33" t="s">
        <v>48</v>
      </c>
      <c r="D37" s="40" t="s">
        <v>233</v>
      </c>
      <c r="E37" s="41" t="s">
        <v>234</v>
      </c>
      <c r="F37" s="42" t="s">
        <v>235</v>
      </c>
      <c r="G37" s="50">
        <v>12</v>
      </c>
      <c r="H37" s="44">
        <f>J37/G37</f>
        <v>166.66666666666666</v>
      </c>
      <c r="I37" s="45" t="s">
        <v>90</v>
      </c>
      <c r="J37" s="46">
        <v>2000</v>
      </c>
      <c r="K37" s="32">
        <v>810.27</v>
      </c>
      <c r="L37" s="238">
        <v>0</v>
      </c>
      <c r="M37" s="265">
        <v>357.44</v>
      </c>
      <c r="N37" s="32">
        <f t="shared" si="0"/>
        <v>810.27</v>
      </c>
      <c r="O37" s="32">
        <f t="shared" si="1"/>
        <v>1189.73</v>
      </c>
      <c r="P37" s="1" t="s">
        <v>866</v>
      </c>
      <c r="R37" t="s">
        <v>233</v>
      </c>
      <c r="S37" t="s">
        <v>234</v>
      </c>
      <c r="T37" t="s">
        <v>235</v>
      </c>
      <c r="U37" s="32">
        <v>357.44</v>
      </c>
    </row>
    <row r="38" spans="1:21" ht="13.5">
      <c r="A38" s="1" t="s">
        <v>503</v>
      </c>
      <c r="B38" s="33" t="s">
        <v>28</v>
      </c>
      <c r="C38" s="33" t="s">
        <v>48</v>
      </c>
      <c r="D38" s="40" t="s">
        <v>236</v>
      </c>
      <c r="E38" s="41" t="s">
        <v>237</v>
      </c>
      <c r="F38" s="42" t="s">
        <v>238</v>
      </c>
      <c r="G38" s="50">
        <f>J38/H38</f>
        <v>60</v>
      </c>
      <c r="H38" s="44">
        <v>50</v>
      </c>
      <c r="I38" s="45" t="s">
        <v>97</v>
      </c>
      <c r="J38" s="46">
        <v>3000</v>
      </c>
      <c r="K38" s="32">
        <v>3065.09</v>
      </c>
      <c r="L38" s="238">
        <v>0</v>
      </c>
      <c r="M38" s="265">
        <v>5544.8099999999995</v>
      </c>
      <c r="N38" s="32">
        <f t="shared" si="0"/>
        <v>3065.09</v>
      </c>
      <c r="O38" s="32">
        <f t="shared" si="1"/>
        <v>-65.09000000000015</v>
      </c>
      <c r="P38" s="1" t="s">
        <v>849</v>
      </c>
      <c r="R38" t="s">
        <v>236</v>
      </c>
      <c r="S38" t="s">
        <v>237</v>
      </c>
      <c r="T38" t="s">
        <v>238</v>
      </c>
      <c r="U38" s="32">
        <v>5544.8099999999995</v>
      </c>
    </row>
    <row r="39" spans="1:21" ht="13.5">
      <c r="A39" s="1" t="s">
        <v>503</v>
      </c>
      <c r="B39" s="33" t="s">
        <v>26</v>
      </c>
      <c r="C39" s="33" t="s">
        <v>48</v>
      </c>
      <c r="D39" s="40" t="s">
        <v>239</v>
      </c>
      <c r="E39" s="41" t="s">
        <v>240</v>
      </c>
      <c r="F39" s="42" t="s">
        <v>241</v>
      </c>
      <c r="G39" s="50">
        <v>12</v>
      </c>
      <c r="H39" s="44">
        <v>800</v>
      </c>
      <c r="I39" s="45" t="s">
        <v>90</v>
      </c>
      <c r="J39" s="46">
        <v>4000</v>
      </c>
      <c r="K39" s="32">
        <v>3660</v>
      </c>
      <c r="L39" s="238">
        <v>800</v>
      </c>
      <c r="M39" s="265">
        <v>5263.54</v>
      </c>
      <c r="N39" s="32">
        <f t="shared" si="0"/>
        <v>4460</v>
      </c>
      <c r="O39" s="32">
        <f t="shared" si="1"/>
        <v>-460</v>
      </c>
      <c r="P39" s="1" t="s">
        <v>849</v>
      </c>
      <c r="R39" t="s">
        <v>239</v>
      </c>
      <c r="S39" t="s">
        <v>240</v>
      </c>
      <c r="T39" t="s">
        <v>241</v>
      </c>
      <c r="U39" s="32">
        <v>5263.54</v>
      </c>
    </row>
    <row r="40" spans="1:21" ht="13.5">
      <c r="A40" s="1" t="s">
        <v>503</v>
      </c>
      <c r="B40" s="33" t="s">
        <v>28</v>
      </c>
      <c r="C40" s="33" t="s">
        <v>48</v>
      </c>
      <c r="D40" s="40" t="s">
        <v>242</v>
      </c>
      <c r="E40" s="41" t="s">
        <v>243</v>
      </c>
      <c r="F40" s="42" t="s">
        <v>244</v>
      </c>
      <c r="G40" s="50">
        <v>1</v>
      </c>
      <c r="H40" s="44">
        <v>1000</v>
      </c>
      <c r="I40" s="45" t="s">
        <v>97</v>
      </c>
      <c r="J40" s="46">
        <v>1000</v>
      </c>
      <c r="K40" s="32">
        <v>1317.69</v>
      </c>
      <c r="L40" s="238">
        <v>500</v>
      </c>
      <c r="M40" s="265">
        <v>3005.99</v>
      </c>
      <c r="N40" s="32">
        <f t="shared" si="0"/>
        <v>1817.69</v>
      </c>
      <c r="O40" s="32">
        <f t="shared" si="1"/>
        <v>-817.69</v>
      </c>
      <c r="P40" s="1" t="s">
        <v>849</v>
      </c>
      <c r="R40" t="s">
        <v>242</v>
      </c>
      <c r="S40" t="s">
        <v>243</v>
      </c>
      <c r="T40" t="s">
        <v>244</v>
      </c>
      <c r="U40" s="32">
        <v>3005.99</v>
      </c>
    </row>
    <row r="41" spans="1:21" ht="13.5">
      <c r="A41" s="1" t="s">
        <v>503</v>
      </c>
      <c r="B41" s="33" t="s">
        <v>28</v>
      </c>
      <c r="C41" s="33" t="s">
        <v>48</v>
      </c>
      <c r="D41" s="40" t="s">
        <v>245</v>
      </c>
      <c r="E41" s="41" t="s">
        <v>246</v>
      </c>
      <c r="F41" s="42" t="s">
        <v>247</v>
      </c>
      <c r="G41" s="50">
        <v>1</v>
      </c>
      <c r="H41" s="44">
        <v>500</v>
      </c>
      <c r="I41" s="45" t="s">
        <v>97</v>
      </c>
      <c r="J41" s="46">
        <v>1000</v>
      </c>
      <c r="K41" s="32">
        <v>0</v>
      </c>
      <c r="L41" s="238">
        <v>1000</v>
      </c>
      <c r="M41" s="265">
        <v>662.29</v>
      </c>
      <c r="N41" s="32">
        <f t="shared" si="0"/>
        <v>1000</v>
      </c>
      <c r="O41" s="32">
        <f t="shared" si="1"/>
        <v>0</v>
      </c>
      <c r="P41" s="1" t="s">
        <v>866</v>
      </c>
      <c r="R41" t="s">
        <v>245</v>
      </c>
      <c r="S41" t="s">
        <v>246</v>
      </c>
      <c r="T41" t="s">
        <v>247</v>
      </c>
      <c r="U41" s="32">
        <v>662.29</v>
      </c>
    </row>
    <row r="42" spans="1:21" ht="13.5">
      <c r="A42" s="1" t="s">
        <v>503</v>
      </c>
      <c r="B42" s="33" t="s">
        <v>28</v>
      </c>
      <c r="C42" s="33" t="s">
        <v>48</v>
      </c>
      <c r="D42" s="40" t="s">
        <v>248</v>
      </c>
      <c r="E42" s="41" t="s">
        <v>249</v>
      </c>
      <c r="F42" s="42" t="s">
        <v>250</v>
      </c>
      <c r="G42" s="50">
        <v>1</v>
      </c>
      <c r="H42" s="44">
        <v>5000</v>
      </c>
      <c r="I42" s="45" t="s">
        <v>97</v>
      </c>
      <c r="J42" s="46">
        <v>5000</v>
      </c>
      <c r="K42" s="32">
        <v>5094.74</v>
      </c>
      <c r="L42" s="238">
        <v>2500</v>
      </c>
      <c r="M42" s="265">
        <v>5794.74</v>
      </c>
      <c r="N42" s="32">
        <f t="shared" si="0"/>
        <v>7594.74</v>
      </c>
      <c r="O42" s="32">
        <f t="shared" si="1"/>
        <v>-2594.74</v>
      </c>
      <c r="P42" s="1" t="s">
        <v>849</v>
      </c>
      <c r="R42" t="s">
        <v>248</v>
      </c>
      <c r="S42" t="s">
        <v>249</v>
      </c>
      <c r="T42" t="s">
        <v>250</v>
      </c>
      <c r="U42" s="32">
        <v>5794.74</v>
      </c>
    </row>
    <row r="43" spans="1:21" ht="33">
      <c r="A43" s="1" t="s">
        <v>503</v>
      </c>
      <c r="B43" s="33" t="s">
        <v>33</v>
      </c>
      <c r="C43" s="258" t="s">
        <v>854</v>
      </c>
      <c r="D43" s="40" t="s">
        <v>251</v>
      </c>
      <c r="E43" s="41" t="s">
        <v>252</v>
      </c>
      <c r="F43" s="42" t="s">
        <v>253</v>
      </c>
      <c r="G43" s="50">
        <v>12</v>
      </c>
      <c r="H43" s="44">
        <v>100</v>
      </c>
      <c r="I43" s="45" t="s">
        <v>90</v>
      </c>
      <c r="J43" s="46">
        <v>1200</v>
      </c>
      <c r="K43" s="32">
        <v>1096.18</v>
      </c>
      <c r="L43" s="238">
        <v>100</v>
      </c>
      <c r="M43" s="265">
        <v>1578.1499999999999</v>
      </c>
      <c r="N43" s="32">
        <f t="shared" si="0"/>
        <v>1196.18</v>
      </c>
      <c r="O43" s="32">
        <f t="shared" si="1"/>
        <v>3.8199999999999363</v>
      </c>
      <c r="P43" s="1" t="s">
        <v>849</v>
      </c>
      <c r="R43" t="s">
        <v>251</v>
      </c>
      <c r="S43" t="s">
        <v>252</v>
      </c>
      <c r="T43" t="s">
        <v>253</v>
      </c>
      <c r="U43" s="32">
        <v>1578.1499999999999</v>
      </c>
    </row>
    <row r="44" spans="1:21" ht="33">
      <c r="A44" s="1" t="s">
        <v>503</v>
      </c>
      <c r="B44" s="33" t="s">
        <v>33</v>
      </c>
      <c r="C44" s="258" t="s">
        <v>854</v>
      </c>
      <c r="D44" s="40" t="s">
        <v>254</v>
      </c>
      <c r="E44" s="41" t="s">
        <v>255</v>
      </c>
      <c r="F44" s="42" t="s">
        <v>256</v>
      </c>
      <c r="G44" s="50">
        <v>12</v>
      </c>
      <c r="H44" s="44">
        <v>166.66666666666666</v>
      </c>
      <c r="I44" s="45" t="s">
        <v>90</v>
      </c>
      <c r="J44" s="46">
        <v>2000</v>
      </c>
      <c r="K44" s="32">
        <v>0</v>
      </c>
      <c r="L44" s="238">
        <v>0</v>
      </c>
      <c r="M44" s="265">
        <v>0</v>
      </c>
      <c r="N44" s="32">
        <f t="shared" si="0"/>
        <v>0</v>
      </c>
      <c r="O44" s="32">
        <f t="shared" si="1"/>
        <v>2000</v>
      </c>
      <c r="P44" t="s">
        <v>849</v>
      </c>
      <c r="R44" t="s">
        <v>254</v>
      </c>
      <c r="S44" t="s">
        <v>255</v>
      </c>
      <c r="T44" t="s">
        <v>256</v>
      </c>
      <c r="U44" s="32">
        <v>0</v>
      </c>
    </row>
    <row r="45" spans="1:21" ht="33">
      <c r="A45" s="1" t="s">
        <v>503</v>
      </c>
      <c r="B45" s="33" t="s">
        <v>33</v>
      </c>
      <c r="C45" s="258" t="s">
        <v>854</v>
      </c>
      <c r="D45" s="40" t="s">
        <v>257</v>
      </c>
      <c r="E45" s="41" t="s">
        <v>258</v>
      </c>
      <c r="F45" s="42" t="s">
        <v>259</v>
      </c>
      <c r="G45" s="50">
        <v>5</v>
      </c>
      <c r="H45" s="44">
        <v>3200</v>
      </c>
      <c r="I45" s="45" t="s">
        <v>90</v>
      </c>
      <c r="J45" s="46">
        <v>16000</v>
      </c>
      <c r="K45" s="32">
        <v>16572.46</v>
      </c>
      <c r="L45" s="238">
        <v>0</v>
      </c>
      <c r="M45" s="265">
        <v>15783.740000000002</v>
      </c>
      <c r="N45" s="32">
        <f t="shared" si="0"/>
        <v>16572.46</v>
      </c>
      <c r="O45" s="32">
        <f t="shared" si="1"/>
        <v>-572.4599999999991</v>
      </c>
      <c r="P45" s="1" t="s">
        <v>849</v>
      </c>
      <c r="R45" t="s">
        <v>257</v>
      </c>
      <c r="S45" t="s">
        <v>258</v>
      </c>
      <c r="T45" t="s">
        <v>259</v>
      </c>
      <c r="U45" s="32">
        <v>15783.740000000002</v>
      </c>
    </row>
    <row r="46" spans="1:21" ht="33">
      <c r="A46" s="1" t="s">
        <v>503</v>
      </c>
      <c r="B46" s="33" t="s">
        <v>33</v>
      </c>
      <c r="C46" s="258" t="s">
        <v>854</v>
      </c>
      <c r="D46" s="40" t="s">
        <v>260</v>
      </c>
      <c r="E46" s="41" t="s">
        <v>261</v>
      </c>
      <c r="F46" s="42" t="s">
        <v>262</v>
      </c>
      <c r="G46" s="50">
        <v>10</v>
      </c>
      <c r="H46" s="44">
        <v>400</v>
      </c>
      <c r="I46" s="45" t="s">
        <v>90</v>
      </c>
      <c r="J46" s="46">
        <v>4000</v>
      </c>
      <c r="K46" s="32">
        <v>0</v>
      </c>
      <c r="L46" s="238">
        <v>0</v>
      </c>
      <c r="M46" s="265">
        <v>0</v>
      </c>
      <c r="N46" s="32">
        <f t="shared" si="0"/>
        <v>0</v>
      </c>
      <c r="O46" s="32">
        <f t="shared" si="1"/>
        <v>4000</v>
      </c>
      <c r="P46" s="1" t="s">
        <v>866</v>
      </c>
      <c r="R46" t="s">
        <v>260</v>
      </c>
      <c r="S46" t="s">
        <v>261</v>
      </c>
      <c r="T46" t="s">
        <v>262</v>
      </c>
      <c r="U46" s="32">
        <v>0</v>
      </c>
    </row>
    <row r="47" spans="1:21" ht="33">
      <c r="A47" s="1" t="s">
        <v>503</v>
      </c>
      <c r="B47" s="33" t="s">
        <v>33</v>
      </c>
      <c r="C47" s="258" t="s">
        <v>854</v>
      </c>
      <c r="D47" s="40" t="s">
        <v>263</v>
      </c>
      <c r="E47" s="41" t="s">
        <v>264</v>
      </c>
      <c r="F47" s="42" t="s">
        <v>265</v>
      </c>
      <c r="G47" s="50">
        <v>12</v>
      </c>
      <c r="H47" s="44">
        <v>67</v>
      </c>
      <c r="I47" s="45" t="s">
        <v>90</v>
      </c>
      <c r="J47" s="46">
        <v>800</v>
      </c>
      <c r="K47" s="32">
        <v>0</v>
      </c>
      <c r="L47" s="238">
        <v>0</v>
      </c>
      <c r="M47" s="265">
        <v>994.04</v>
      </c>
      <c r="N47" s="32">
        <f t="shared" si="0"/>
        <v>0</v>
      </c>
      <c r="O47" s="32">
        <f t="shared" si="1"/>
        <v>800</v>
      </c>
      <c r="P47" s="1" t="s">
        <v>866</v>
      </c>
      <c r="R47" t="s">
        <v>263</v>
      </c>
      <c r="S47" t="s">
        <v>264</v>
      </c>
      <c r="T47" t="s">
        <v>265</v>
      </c>
      <c r="U47" s="32">
        <v>994.04</v>
      </c>
    </row>
    <row r="48" spans="1:21" ht="33">
      <c r="A48" s="1" t="s">
        <v>503</v>
      </c>
      <c r="B48" s="33" t="s">
        <v>33</v>
      </c>
      <c r="C48" s="258" t="s">
        <v>854</v>
      </c>
      <c r="D48" s="40" t="s">
        <v>266</v>
      </c>
      <c r="E48" s="41" t="s">
        <v>267</v>
      </c>
      <c r="F48" s="42" t="s">
        <v>268</v>
      </c>
      <c r="G48" s="50">
        <v>12</v>
      </c>
      <c r="H48" s="44">
        <v>167</v>
      </c>
      <c r="I48" s="45" t="s">
        <v>90</v>
      </c>
      <c r="J48" s="46">
        <v>2000</v>
      </c>
      <c r="K48" s="32">
        <v>0</v>
      </c>
      <c r="L48" s="238">
        <v>0</v>
      </c>
      <c r="M48" s="265">
        <v>61.47</v>
      </c>
      <c r="N48" s="32">
        <f t="shared" si="0"/>
        <v>0</v>
      </c>
      <c r="O48" s="32">
        <f t="shared" si="1"/>
        <v>2000</v>
      </c>
      <c r="P48" t="s">
        <v>849</v>
      </c>
      <c r="R48" t="s">
        <v>266</v>
      </c>
      <c r="S48" t="s">
        <v>267</v>
      </c>
      <c r="T48" t="s">
        <v>268</v>
      </c>
      <c r="U48" s="32">
        <v>61.47</v>
      </c>
    </row>
    <row r="49" spans="1:21" ht="33">
      <c r="A49" s="1" t="s">
        <v>503</v>
      </c>
      <c r="B49" s="33" t="s">
        <v>26</v>
      </c>
      <c r="C49" s="258" t="s">
        <v>854</v>
      </c>
      <c r="D49" s="40" t="s">
        <v>269</v>
      </c>
      <c r="E49" s="41" t="s">
        <v>270</v>
      </c>
      <c r="F49" s="42" t="s">
        <v>271</v>
      </c>
      <c r="G49" s="43">
        <v>5</v>
      </c>
      <c r="H49" s="47">
        <v>700</v>
      </c>
      <c r="I49" s="45" t="s">
        <v>90</v>
      </c>
      <c r="J49" s="46">
        <v>3500</v>
      </c>
      <c r="K49" s="32">
        <v>3366.24</v>
      </c>
      <c r="L49" s="238">
        <v>0</v>
      </c>
      <c r="M49" s="265">
        <v>3366.24</v>
      </c>
      <c r="N49" s="32">
        <f t="shared" si="0"/>
        <v>3366.24</v>
      </c>
      <c r="O49" s="32">
        <f t="shared" si="1"/>
        <v>133.76000000000022</v>
      </c>
      <c r="P49" s="1" t="s">
        <v>849</v>
      </c>
      <c r="R49" t="s">
        <v>269</v>
      </c>
      <c r="S49" t="s">
        <v>270</v>
      </c>
      <c r="T49" t="s">
        <v>271</v>
      </c>
      <c r="U49" s="32">
        <v>3366.24</v>
      </c>
    </row>
    <row r="50" spans="1:21" ht="33">
      <c r="A50" s="1" t="s">
        <v>503</v>
      </c>
      <c r="B50" s="33" t="s">
        <v>33</v>
      </c>
      <c r="C50" s="258" t="s">
        <v>854</v>
      </c>
      <c r="D50" s="40" t="s">
        <v>272</v>
      </c>
      <c r="E50" s="41" t="s">
        <v>273</v>
      </c>
      <c r="F50" s="42" t="s">
        <v>274</v>
      </c>
      <c r="G50" s="43">
        <v>12</v>
      </c>
      <c r="H50" s="47">
        <v>300</v>
      </c>
      <c r="I50" s="45" t="s">
        <v>90</v>
      </c>
      <c r="J50" s="46">
        <v>3600</v>
      </c>
      <c r="K50" s="32">
        <v>1534.27</v>
      </c>
      <c r="L50" s="238">
        <v>1000</v>
      </c>
      <c r="M50" s="265">
        <v>316.27</v>
      </c>
      <c r="N50" s="32">
        <f t="shared" si="0"/>
        <v>2534.27</v>
      </c>
      <c r="O50" s="32">
        <f t="shared" si="1"/>
        <v>1065.73</v>
      </c>
      <c r="P50" s="1" t="s">
        <v>866</v>
      </c>
      <c r="R50" t="s">
        <v>272</v>
      </c>
      <c r="S50" t="s">
        <v>273</v>
      </c>
      <c r="T50" t="s">
        <v>274</v>
      </c>
      <c r="U50" s="32">
        <v>316.27</v>
      </c>
    </row>
    <row r="51" spans="1:21" ht="33">
      <c r="A51" s="1" t="s">
        <v>503</v>
      </c>
      <c r="B51" s="33" t="s">
        <v>33</v>
      </c>
      <c r="C51" s="258" t="s">
        <v>854</v>
      </c>
      <c r="D51" s="40" t="s">
        <v>275</v>
      </c>
      <c r="E51" s="41" t="s">
        <v>276</v>
      </c>
      <c r="F51" s="42" t="s">
        <v>277</v>
      </c>
      <c r="G51" s="43">
        <v>12</v>
      </c>
      <c r="H51" s="47">
        <v>66.66666666666667</v>
      </c>
      <c r="I51" s="45" t="s">
        <v>90</v>
      </c>
      <c r="J51" s="46">
        <v>800</v>
      </c>
      <c r="K51" s="32">
        <v>66.13</v>
      </c>
      <c r="L51" s="238">
        <v>0</v>
      </c>
      <c r="M51" s="265">
        <v>752.9999999999999</v>
      </c>
      <c r="N51" s="32">
        <f t="shared" si="0"/>
        <v>66.13</v>
      </c>
      <c r="O51" s="32">
        <f t="shared" si="1"/>
        <v>733.87</v>
      </c>
      <c r="P51" s="1" t="s">
        <v>866</v>
      </c>
      <c r="R51" t="s">
        <v>275</v>
      </c>
      <c r="S51" t="s">
        <v>276</v>
      </c>
      <c r="T51" t="s">
        <v>277</v>
      </c>
      <c r="U51" s="32">
        <v>752.9999999999999</v>
      </c>
    </row>
    <row r="52" spans="1:21" ht="33">
      <c r="A52" s="1" t="s">
        <v>503</v>
      </c>
      <c r="B52" s="33" t="s">
        <v>33</v>
      </c>
      <c r="C52" s="258" t="s">
        <v>854</v>
      </c>
      <c r="D52" s="40" t="s">
        <v>278</v>
      </c>
      <c r="E52" s="41" t="s">
        <v>279</v>
      </c>
      <c r="F52" s="42" t="s">
        <v>280</v>
      </c>
      <c r="G52" s="43">
        <v>12</v>
      </c>
      <c r="H52" s="47">
        <v>166.66666666666666</v>
      </c>
      <c r="I52" s="45" t="s">
        <v>90</v>
      </c>
      <c r="J52" s="46">
        <v>2000</v>
      </c>
      <c r="K52" s="32">
        <v>0</v>
      </c>
      <c r="L52" s="238">
        <v>0</v>
      </c>
      <c r="M52" s="265">
        <v>0</v>
      </c>
      <c r="N52" s="32">
        <f t="shared" si="0"/>
        <v>0</v>
      </c>
      <c r="O52" s="32">
        <f t="shared" si="1"/>
        <v>2000</v>
      </c>
      <c r="P52" t="s">
        <v>849</v>
      </c>
      <c r="R52" t="s">
        <v>278</v>
      </c>
      <c r="S52" t="s">
        <v>279</v>
      </c>
      <c r="T52" t="s">
        <v>280</v>
      </c>
      <c r="U52" s="32">
        <v>0</v>
      </c>
    </row>
    <row r="53" spans="1:21" ht="33">
      <c r="A53" s="1" t="s">
        <v>503</v>
      </c>
      <c r="B53" s="33" t="s">
        <v>33</v>
      </c>
      <c r="C53" s="258" t="s">
        <v>854</v>
      </c>
      <c r="D53" s="40" t="s">
        <v>281</v>
      </c>
      <c r="E53" s="41" t="s">
        <v>282</v>
      </c>
      <c r="F53" s="42" t="s">
        <v>283</v>
      </c>
      <c r="G53" s="43">
        <v>6</v>
      </c>
      <c r="H53" s="47">
        <v>500</v>
      </c>
      <c r="I53" s="45" t="s">
        <v>90</v>
      </c>
      <c r="J53" s="46">
        <v>3000</v>
      </c>
      <c r="K53" s="32">
        <v>0</v>
      </c>
      <c r="L53" s="238">
        <v>2000</v>
      </c>
      <c r="M53" s="265">
        <v>0</v>
      </c>
      <c r="N53" s="32">
        <f t="shared" si="0"/>
        <v>2000</v>
      </c>
      <c r="O53" s="32">
        <f t="shared" si="1"/>
        <v>1000</v>
      </c>
      <c r="P53" s="1" t="s">
        <v>866</v>
      </c>
      <c r="R53" t="s">
        <v>281</v>
      </c>
      <c r="S53" t="s">
        <v>282</v>
      </c>
      <c r="T53" t="s">
        <v>283</v>
      </c>
      <c r="U53" s="32">
        <v>0</v>
      </c>
    </row>
    <row r="54" spans="1:21" ht="33">
      <c r="A54" s="1" t="s">
        <v>503</v>
      </c>
      <c r="B54" s="191" t="s">
        <v>34</v>
      </c>
      <c r="C54" s="33" t="s">
        <v>59</v>
      </c>
      <c r="D54" s="40" t="s">
        <v>284</v>
      </c>
      <c r="E54" s="41" t="s">
        <v>285</v>
      </c>
      <c r="F54" s="42" t="s">
        <v>286</v>
      </c>
      <c r="G54" s="50">
        <v>12</v>
      </c>
      <c r="H54" s="44">
        <v>575</v>
      </c>
      <c r="I54" s="45" t="s">
        <v>90</v>
      </c>
      <c r="J54" s="51">
        <v>6900</v>
      </c>
      <c r="K54" s="32">
        <v>6000</v>
      </c>
      <c r="L54" s="238">
        <v>0</v>
      </c>
      <c r="M54" s="265">
        <v>12800</v>
      </c>
      <c r="N54" s="32">
        <f t="shared" si="0"/>
        <v>6000</v>
      </c>
      <c r="O54" s="32">
        <f t="shared" si="1"/>
        <v>900</v>
      </c>
      <c r="P54" s="1" t="s">
        <v>866</v>
      </c>
      <c r="R54" t="s">
        <v>284</v>
      </c>
      <c r="S54" t="s">
        <v>285</v>
      </c>
      <c r="T54" t="s">
        <v>286</v>
      </c>
      <c r="U54" s="32">
        <v>12800</v>
      </c>
    </row>
    <row r="55" spans="1:21" ht="13.5">
      <c r="A55" s="1" t="s">
        <v>503</v>
      </c>
      <c r="B55" s="33" t="s">
        <v>34</v>
      </c>
      <c r="C55" s="33" t="s">
        <v>59</v>
      </c>
      <c r="D55" s="40" t="s">
        <v>122</v>
      </c>
      <c r="E55" s="41" t="s">
        <v>123</v>
      </c>
      <c r="F55" s="42" t="s">
        <v>124</v>
      </c>
      <c r="G55" s="50">
        <v>12</v>
      </c>
      <c r="H55" s="44">
        <f>J55/G55</f>
        <v>150</v>
      </c>
      <c r="I55" s="45" t="s">
        <v>90</v>
      </c>
      <c r="J55" s="51">
        <v>1800</v>
      </c>
      <c r="K55" s="32">
        <v>868.0799999999999</v>
      </c>
      <c r="L55" s="238">
        <v>400</v>
      </c>
      <c r="M55" s="265">
        <v>1850.87</v>
      </c>
      <c r="N55" s="32">
        <f t="shared" si="0"/>
        <v>1268.08</v>
      </c>
      <c r="O55" s="32">
        <f t="shared" si="1"/>
        <v>531.9200000000001</v>
      </c>
      <c r="P55" s="1" t="s">
        <v>866</v>
      </c>
      <c r="R55" t="s">
        <v>122</v>
      </c>
      <c r="S55" t="s">
        <v>123</v>
      </c>
      <c r="T55" t="s">
        <v>124</v>
      </c>
      <c r="U55" s="32">
        <v>1850.87</v>
      </c>
    </row>
    <row r="56" spans="1:21" ht="13.5">
      <c r="A56" s="1" t="s">
        <v>503</v>
      </c>
      <c r="B56" s="33" t="s">
        <v>31</v>
      </c>
      <c r="C56" s="33" t="s">
        <v>59</v>
      </c>
      <c r="D56" s="40" t="s">
        <v>287</v>
      </c>
      <c r="E56" s="41" t="s">
        <v>288</v>
      </c>
      <c r="F56" s="42" t="s">
        <v>289</v>
      </c>
      <c r="G56" s="50">
        <v>1</v>
      </c>
      <c r="H56" s="44">
        <v>2750</v>
      </c>
      <c r="I56" s="45" t="s">
        <v>97</v>
      </c>
      <c r="J56" s="51">
        <v>2750</v>
      </c>
      <c r="K56" s="32">
        <v>2850.21</v>
      </c>
      <c r="L56" s="238">
        <v>0</v>
      </c>
      <c r="M56" s="265">
        <v>2850.21</v>
      </c>
      <c r="N56" s="32">
        <f t="shared" si="0"/>
        <v>2850.21</v>
      </c>
      <c r="O56" s="32">
        <f t="shared" si="1"/>
        <v>-100.21000000000004</v>
      </c>
      <c r="P56" s="1" t="s">
        <v>849</v>
      </c>
      <c r="R56" t="s">
        <v>287</v>
      </c>
      <c r="S56" t="s">
        <v>288</v>
      </c>
      <c r="T56" t="s">
        <v>289</v>
      </c>
      <c r="U56" s="32">
        <v>2850.21</v>
      </c>
    </row>
    <row r="57" spans="1:21" ht="33">
      <c r="A57" s="1" t="s">
        <v>503</v>
      </c>
      <c r="B57" s="191" t="s">
        <v>34</v>
      </c>
      <c r="C57" s="33" t="s">
        <v>59</v>
      </c>
      <c r="D57" s="40" t="s">
        <v>290</v>
      </c>
      <c r="E57" s="41" t="s">
        <v>291</v>
      </c>
      <c r="F57" s="42" t="s">
        <v>292</v>
      </c>
      <c r="G57" s="50">
        <v>12</v>
      </c>
      <c r="H57" s="44">
        <f>J57/G57</f>
        <v>100</v>
      </c>
      <c r="I57" s="45" t="s">
        <v>90</v>
      </c>
      <c r="J57" s="51">
        <v>1200</v>
      </c>
      <c r="K57" s="32">
        <v>2434.72</v>
      </c>
      <c r="L57" s="238">
        <v>500</v>
      </c>
      <c r="M57" s="265">
        <v>3024.7</v>
      </c>
      <c r="N57" s="32">
        <f t="shared" si="0"/>
        <v>2934.72</v>
      </c>
      <c r="O57" s="32">
        <f t="shared" si="1"/>
        <v>-1734.7199999999998</v>
      </c>
      <c r="P57" s="1" t="s">
        <v>849</v>
      </c>
      <c r="R57" t="s">
        <v>290</v>
      </c>
      <c r="S57" t="s">
        <v>291</v>
      </c>
      <c r="T57" t="s">
        <v>292</v>
      </c>
      <c r="U57" s="32">
        <v>3024.7</v>
      </c>
    </row>
    <row r="58" spans="1:21" ht="13.5">
      <c r="A58" s="1" t="s">
        <v>503</v>
      </c>
      <c r="B58" s="33" t="s">
        <v>31</v>
      </c>
      <c r="C58" s="33" t="s">
        <v>59</v>
      </c>
      <c r="D58" s="40" t="s">
        <v>293</v>
      </c>
      <c r="E58" s="41" t="s">
        <v>294</v>
      </c>
      <c r="F58" s="42" t="s">
        <v>295</v>
      </c>
      <c r="G58" s="50">
        <f>J58/H58</f>
        <v>4</v>
      </c>
      <c r="H58" s="44">
        <v>500</v>
      </c>
      <c r="I58" s="45" t="s">
        <v>97</v>
      </c>
      <c r="J58" s="240">
        <v>2000</v>
      </c>
      <c r="K58" s="32">
        <v>2612.1800000000003</v>
      </c>
      <c r="L58" s="238">
        <v>175</v>
      </c>
      <c r="M58" s="265">
        <v>3380.33</v>
      </c>
      <c r="N58" s="32">
        <f t="shared" si="0"/>
        <v>2787.1800000000003</v>
      </c>
      <c r="O58" s="32">
        <f t="shared" si="1"/>
        <v>-787.1800000000003</v>
      </c>
      <c r="P58" s="1" t="s">
        <v>849</v>
      </c>
      <c r="R58" t="s">
        <v>293</v>
      </c>
      <c r="S58" t="s">
        <v>294</v>
      </c>
      <c r="T58" t="s">
        <v>295</v>
      </c>
      <c r="U58" s="32">
        <v>3380.33</v>
      </c>
    </row>
    <row r="59" spans="1:21" ht="13.5">
      <c r="A59" s="1" t="s">
        <v>503</v>
      </c>
      <c r="B59" s="33" t="s">
        <v>31</v>
      </c>
      <c r="C59" s="33" t="s">
        <v>59</v>
      </c>
      <c r="D59" s="40" t="s">
        <v>296</v>
      </c>
      <c r="E59" s="41" t="s">
        <v>297</v>
      </c>
      <c r="F59" s="42" t="s">
        <v>298</v>
      </c>
      <c r="G59" s="50">
        <v>1</v>
      </c>
      <c r="H59" s="44">
        <v>9000</v>
      </c>
      <c r="I59" s="45" t="s">
        <v>97</v>
      </c>
      <c r="J59" s="51">
        <v>9000</v>
      </c>
      <c r="K59" s="32">
        <v>0</v>
      </c>
      <c r="L59" s="238">
        <v>0</v>
      </c>
      <c r="M59" s="265">
        <v>0</v>
      </c>
      <c r="N59" s="32">
        <f t="shared" si="0"/>
        <v>0</v>
      </c>
      <c r="O59" s="32">
        <f t="shared" si="1"/>
        <v>9000</v>
      </c>
      <c r="P59" s="1" t="s">
        <v>866</v>
      </c>
      <c r="R59" t="s">
        <v>296</v>
      </c>
      <c r="S59" t="s">
        <v>297</v>
      </c>
      <c r="T59" t="s">
        <v>298</v>
      </c>
      <c r="U59" s="32">
        <v>0</v>
      </c>
    </row>
    <row r="60" spans="1:21" ht="33">
      <c r="A60" s="1" t="s">
        <v>503</v>
      </c>
      <c r="B60" s="191" t="s">
        <v>34</v>
      </c>
      <c r="C60" s="33" t="s">
        <v>59</v>
      </c>
      <c r="D60" s="40" t="s">
        <v>299</v>
      </c>
      <c r="E60" s="41" t="s">
        <v>300</v>
      </c>
      <c r="F60" s="42" t="s">
        <v>301</v>
      </c>
      <c r="G60" s="50">
        <v>12</v>
      </c>
      <c r="H60" s="44">
        <f>J60/G60</f>
        <v>50</v>
      </c>
      <c r="I60" s="45" t="s">
        <v>90</v>
      </c>
      <c r="J60" s="51">
        <v>600</v>
      </c>
      <c r="K60" s="32">
        <v>0</v>
      </c>
      <c r="L60" s="238">
        <v>0</v>
      </c>
      <c r="M60" s="265">
        <v>0</v>
      </c>
      <c r="N60" s="32">
        <f t="shared" si="0"/>
        <v>0</v>
      </c>
      <c r="O60" s="246">
        <f t="shared" si="1"/>
        <v>600</v>
      </c>
      <c r="P60" s="1" t="s">
        <v>866</v>
      </c>
      <c r="R60" t="s">
        <v>299</v>
      </c>
      <c r="S60" t="s">
        <v>300</v>
      </c>
      <c r="T60" t="s">
        <v>301</v>
      </c>
      <c r="U60" s="32">
        <v>0</v>
      </c>
    </row>
    <row r="61" spans="1:21" ht="13.5">
      <c r="A61" s="1" t="s">
        <v>503</v>
      </c>
      <c r="B61" s="33" t="s">
        <v>34</v>
      </c>
      <c r="C61" s="33" t="s">
        <v>59</v>
      </c>
      <c r="D61" s="40" t="s">
        <v>119</v>
      </c>
      <c r="E61" s="41" t="s">
        <v>120</v>
      </c>
      <c r="F61" s="42" t="s">
        <v>121</v>
      </c>
      <c r="G61" s="50">
        <v>12</v>
      </c>
      <c r="H61" s="44">
        <f>J61/G61</f>
        <v>100</v>
      </c>
      <c r="I61" s="45" t="s">
        <v>90</v>
      </c>
      <c r="J61" s="51">
        <v>1200</v>
      </c>
      <c r="K61" s="32">
        <v>422.34</v>
      </c>
      <c r="L61" s="238">
        <v>150</v>
      </c>
      <c r="M61" s="265">
        <v>1487.1799999999998</v>
      </c>
      <c r="N61" s="32">
        <f t="shared" si="0"/>
        <v>572.3399999999999</v>
      </c>
      <c r="O61" s="32">
        <f t="shared" si="1"/>
        <v>627.6600000000001</v>
      </c>
      <c r="P61" s="1" t="s">
        <v>866</v>
      </c>
      <c r="R61" t="s">
        <v>119</v>
      </c>
      <c r="S61" t="s">
        <v>120</v>
      </c>
      <c r="T61" t="s">
        <v>121</v>
      </c>
      <c r="U61" s="32">
        <v>1487.1799999999998</v>
      </c>
    </row>
    <row r="62" spans="1:21" ht="13.5">
      <c r="A62" s="1" t="s">
        <v>503</v>
      </c>
      <c r="B62" s="33" t="s">
        <v>31</v>
      </c>
      <c r="C62" s="33" t="s">
        <v>59</v>
      </c>
      <c r="D62" s="40" t="s">
        <v>302</v>
      </c>
      <c r="E62" s="41" t="s">
        <v>303</v>
      </c>
      <c r="F62" s="42" t="s">
        <v>304</v>
      </c>
      <c r="G62" s="50">
        <v>1</v>
      </c>
      <c r="H62" s="44">
        <v>500</v>
      </c>
      <c r="I62" s="45" t="s">
        <v>97</v>
      </c>
      <c r="J62" s="51">
        <v>500</v>
      </c>
      <c r="K62" s="32">
        <v>0</v>
      </c>
      <c r="L62" s="238">
        <v>100</v>
      </c>
      <c r="M62" s="265">
        <v>0</v>
      </c>
      <c r="N62" s="32">
        <f t="shared" si="0"/>
        <v>100</v>
      </c>
      <c r="O62" s="32">
        <f t="shared" si="1"/>
        <v>400</v>
      </c>
      <c r="P62" s="1" t="s">
        <v>866</v>
      </c>
      <c r="R62" t="s">
        <v>302</v>
      </c>
      <c r="S62" t="s">
        <v>303</v>
      </c>
      <c r="T62" t="s">
        <v>304</v>
      </c>
      <c r="U62" s="32">
        <v>0</v>
      </c>
    </row>
    <row r="63" spans="1:21" ht="33">
      <c r="A63" s="1" t="s">
        <v>503</v>
      </c>
      <c r="B63" s="191" t="s">
        <v>34</v>
      </c>
      <c r="C63" s="33" t="s">
        <v>59</v>
      </c>
      <c r="D63" s="40" t="s">
        <v>305</v>
      </c>
      <c r="E63" s="41" t="s">
        <v>306</v>
      </c>
      <c r="F63" s="42" t="s">
        <v>307</v>
      </c>
      <c r="G63" s="50">
        <v>12</v>
      </c>
      <c r="H63" s="44">
        <f>J63/G63</f>
        <v>200</v>
      </c>
      <c r="I63" s="45" t="s">
        <v>90</v>
      </c>
      <c r="J63" s="51">
        <v>2400</v>
      </c>
      <c r="K63" s="32">
        <v>2545.2200000000003</v>
      </c>
      <c r="L63" s="238">
        <v>150</v>
      </c>
      <c r="M63" s="265">
        <v>2948.9</v>
      </c>
      <c r="N63" s="32">
        <f t="shared" si="0"/>
        <v>2695.2200000000003</v>
      </c>
      <c r="O63" s="32">
        <f t="shared" si="1"/>
        <v>-295.22000000000025</v>
      </c>
      <c r="P63" s="1" t="s">
        <v>849</v>
      </c>
      <c r="R63" t="s">
        <v>305</v>
      </c>
      <c r="S63" t="s">
        <v>306</v>
      </c>
      <c r="T63" t="s">
        <v>307</v>
      </c>
      <c r="U63" s="32">
        <v>2948.9</v>
      </c>
    </row>
    <row r="64" spans="1:21" ht="13.5">
      <c r="A64" s="1" t="s">
        <v>503</v>
      </c>
      <c r="B64" s="33" t="s">
        <v>31</v>
      </c>
      <c r="C64" s="33" t="s">
        <v>59</v>
      </c>
      <c r="D64" s="40" t="s">
        <v>308</v>
      </c>
      <c r="E64" s="41" t="s">
        <v>309</v>
      </c>
      <c r="F64" s="42" t="s">
        <v>310</v>
      </c>
      <c r="G64" s="50">
        <v>2</v>
      </c>
      <c r="H64" s="44">
        <v>500</v>
      </c>
      <c r="I64" s="45" t="s">
        <v>97</v>
      </c>
      <c r="J64" s="240">
        <v>1000</v>
      </c>
      <c r="K64" s="32">
        <v>1152.54</v>
      </c>
      <c r="L64" s="238">
        <v>0</v>
      </c>
      <c r="M64" s="265">
        <v>1152.54</v>
      </c>
      <c r="N64" s="32">
        <f t="shared" si="0"/>
        <v>1152.54</v>
      </c>
      <c r="O64" s="32">
        <f t="shared" si="1"/>
        <v>-152.53999999999996</v>
      </c>
      <c r="P64" s="1" t="s">
        <v>849</v>
      </c>
      <c r="R64" t="s">
        <v>308</v>
      </c>
      <c r="S64" t="s">
        <v>309</v>
      </c>
      <c r="T64" t="s">
        <v>310</v>
      </c>
      <c r="U64" s="32">
        <v>1152.54</v>
      </c>
    </row>
    <row r="65" spans="1:21" ht="13.5">
      <c r="A65" s="1" t="s">
        <v>503</v>
      </c>
      <c r="B65" s="33" t="s">
        <v>31</v>
      </c>
      <c r="C65" s="33" t="s">
        <v>59</v>
      </c>
      <c r="D65" s="40" t="s">
        <v>311</v>
      </c>
      <c r="E65" s="41" t="s">
        <v>312</v>
      </c>
      <c r="F65" s="42" t="s">
        <v>313</v>
      </c>
      <c r="G65" s="50">
        <v>1</v>
      </c>
      <c r="H65" s="44">
        <v>2000</v>
      </c>
      <c r="I65" s="45" t="s">
        <v>97</v>
      </c>
      <c r="J65" s="51">
        <v>2000</v>
      </c>
      <c r="K65" s="32">
        <v>0</v>
      </c>
      <c r="L65" s="238">
        <v>2000</v>
      </c>
      <c r="M65" s="265">
        <v>2049.16</v>
      </c>
      <c r="N65" s="32">
        <f t="shared" si="0"/>
        <v>2000</v>
      </c>
      <c r="O65" s="32">
        <f t="shared" si="1"/>
        <v>0</v>
      </c>
      <c r="P65" s="1" t="s">
        <v>866</v>
      </c>
      <c r="R65" t="s">
        <v>311</v>
      </c>
      <c r="S65" t="s">
        <v>312</v>
      </c>
      <c r="T65" t="s">
        <v>313</v>
      </c>
      <c r="U65" s="32">
        <v>2049.16</v>
      </c>
    </row>
    <row r="66" spans="1:21" ht="33">
      <c r="A66" s="1" t="s">
        <v>503</v>
      </c>
      <c r="B66" s="191" t="s">
        <v>34</v>
      </c>
      <c r="C66" s="33" t="s">
        <v>59</v>
      </c>
      <c r="D66" s="40" t="s">
        <v>314</v>
      </c>
      <c r="E66" s="41" t="s">
        <v>315</v>
      </c>
      <c r="F66" s="42" t="s">
        <v>316</v>
      </c>
      <c r="G66" s="50">
        <v>12</v>
      </c>
      <c r="H66" s="44">
        <v>500</v>
      </c>
      <c r="I66" s="45" t="s">
        <v>90</v>
      </c>
      <c r="J66" s="51">
        <v>600</v>
      </c>
      <c r="K66" s="32">
        <v>12.28</v>
      </c>
      <c r="L66" s="238">
        <v>150</v>
      </c>
      <c r="M66" s="265">
        <v>22.53</v>
      </c>
      <c r="N66" s="32">
        <f t="shared" si="0"/>
        <v>162.28</v>
      </c>
      <c r="O66" s="32">
        <f t="shared" si="1"/>
        <v>437.72</v>
      </c>
      <c r="P66" s="1" t="s">
        <v>866</v>
      </c>
      <c r="R66" t="s">
        <v>314</v>
      </c>
      <c r="S66" t="s">
        <v>315</v>
      </c>
      <c r="T66" t="s">
        <v>316</v>
      </c>
      <c r="U66" s="32">
        <v>22.53</v>
      </c>
    </row>
    <row r="67" spans="1:21" ht="13.5">
      <c r="A67" s="1" t="s">
        <v>503</v>
      </c>
      <c r="B67" s="33" t="s">
        <v>34</v>
      </c>
      <c r="C67" s="33" t="s">
        <v>59</v>
      </c>
      <c r="D67" s="40" t="s">
        <v>116</v>
      </c>
      <c r="E67" s="41" t="s">
        <v>117</v>
      </c>
      <c r="F67" s="42" t="s">
        <v>118</v>
      </c>
      <c r="G67" s="50">
        <v>12</v>
      </c>
      <c r="H67" s="44">
        <f>J67/G67</f>
        <v>100</v>
      </c>
      <c r="I67" s="45" t="s">
        <v>90</v>
      </c>
      <c r="J67" s="51">
        <v>1200</v>
      </c>
      <c r="K67" s="32">
        <v>13.83</v>
      </c>
      <c r="L67" s="238">
        <v>150</v>
      </c>
      <c r="M67" s="265">
        <v>914.99</v>
      </c>
      <c r="N67" s="32">
        <f aca="true" t="shared" si="2" ref="N67:N130">K67+L67</f>
        <v>163.83</v>
      </c>
      <c r="O67" s="32">
        <f aca="true" t="shared" si="3" ref="O67:O130">J67-N67</f>
        <v>1036.17</v>
      </c>
      <c r="P67" s="1" t="s">
        <v>866</v>
      </c>
      <c r="R67" t="s">
        <v>116</v>
      </c>
      <c r="S67" t="s">
        <v>117</v>
      </c>
      <c r="T67" t="s">
        <v>118</v>
      </c>
      <c r="U67" s="32">
        <v>914.99</v>
      </c>
    </row>
    <row r="68" spans="1:21" ht="13.5">
      <c r="A68" s="1" t="s">
        <v>503</v>
      </c>
      <c r="B68" s="33" t="s">
        <v>31</v>
      </c>
      <c r="C68" s="33" t="s">
        <v>59</v>
      </c>
      <c r="D68" s="40" t="s">
        <v>317</v>
      </c>
      <c r="E68" s="41" t="s">
        <v>318</v>
      </c>
      <c r="F68" s="42" t="s">
        <v>319</v>
      </c>
      <c r="G68" s="50">
        <v>1</v>
      </c>
      <c r="H68" s="44">
        <v>2500</v>
      </c>
      <c r="I68" s="45" t="s">
        <v>97</v>
      </c>
      <c r="J68" s="51">
        <v>2500</v>
      </c>
      <c r="K68" s="32">
        <v>750.2900000000001</v>
      </c>
      <c r="L68" s="238">
        <v>0</v>
      </c>
      <c r="M68" s="265">
        <v>750.2900000000001</v>
      </c>
      <c r="N68" s="32">
        <f t="shared" si="2"/>
        <v>750.2900000000001</v>
      </c>
      <c r="O68" s="32">
        <f t="shared" si="3"/>
        <v>1749.71</v>
      </c>
      <c r="P68" s="1" t="s">
        <v>866</v>
      </c>
      <c r="R68" t="s">
        <v>317</v>
      </c>
      <c r="S68" t="s">
        <v>318</v>
      </c>
      <c r="T68" t="s">
        <v>319</v>
      </c>
      <c r="U68" s="32">
        <v>750.2900000000001</v>
      </c>
    </row>
    <row r="69" spans="1:21" ht="33">
      <c r="A69" s="1" t="s">
        <v>503</v>
      </c>
      <c r="B69" s="191" t="s">
        <v>34</v>
      </c>
      <c r="C69" s="33" t="s">
        <v>59</v>
      </c>
      <c r="D69" s="40" t="s">
        <v>320</v>
      </c>
      <c r="E69" s="41" t="s">
        <v>321</v>
      </c>
      <c r="F69" s="42" t="s">
        <v>322</v>
      </c>
      <c r="G69" s="50">
        <v>12</v>
      </c>
      <c r="H69" s="44">
        <f>J69/G69</f>
        <v>100</v>
      </c>
      <c r="I69" s="45" t="s">
        <v>90</v>
      </c>
      <c r="J69" s="51">
        <v>1200</v>
      </c>
      <c r="K69" s="32">
        <v>1512.97</v>
      </c>
      <c r="L69" s="238">
        <v>200</v>
      </c>
      <c r="M69" s="265">
        <v>1122.3700000000001</v>
      </c>
      <c r="N69" s="32">
        <f t="shared" si="2"/>
        <v>1712.97</v>
      </c>
      <c r="O69" s="32">
        <f t="shared" si="3"/>
        <v>-512.97</v>
      </c>
      <c r="P69" s="1" t="s">
        <v>849</v>
      </c>
      <c r="R69" t="s">
        <v>320</v>
      </c>
      <c r="S69" t="s">
        <v>321</v>
      </c>
      <c r="T69" t="s">
        <v>322</v>
      </c>
      <c r="U69" s="32">
        <v>1122.3700000000001</v>
      </c>
    </row>
    <row r="70" spans="1:21" ht="13.5">
      <c r="A70" s="1" t="s">
        <v>503</v>
      </c>
      <c r="B70" s="33" t="s">
        <v>31</v>
      </c>
      <c r="C70" s="33" t="s">
        <v>59</v>
      </c>
      <c r="D70" s="40" t="s">
        <v>323</v>
      </c>
      <c r="E70" s="41" t="s">
        <v>324</v>
      </c>
      <c r="F70" s="42" t="s">
        <v>325</v>
      </c>
      <c r="G70" s="50">
        <v>2</v>
      </c>
      <c r="H70" s="44">
        <v>500</v>
      </c>
      <c r="I70" s="45" t="s">
        <v>97</v>
      </c>
      <c r="J70" s="240">
        <v>1000</v>
      </c>
      <c r="K70" s="32">
        <v>1042.92</v>
      </c>
      <c r="L70" s="238">
        <v>0</v>
      </c>
      <c r="M70" s="265">
        <v>1042.92</v>
      </c>
      <c r="N70" s="32">
        <f t="shared" si="2"/>
        <v>1042.92</v>
      </c>
      <c r="O70" s="32">
        <f t="shared" si="3"/>
        <v>-42.92000000000007</v>
      </c>
      <c r="P70" s="1" t="s">
        <v>849</v>
      </c>
      <c r="R70" t="s">
        <v>323</v>
      </c>
      <c r="S70" t="s">
        <v>324</v>
      </c>
      <c r="T70" t="s">
        <v>325</v>
      </c>
      <c r="U70" s="32">
        <v>1042.92</v>
      </c>
    </row>
    <row r="71" spans="1:21" ht="33">
      <c r="A71" s="1" t="s">
        <v>503</v>
      </c>
      <c r="B71" s="191" t="s">
        <v>34</v>
      </c>
      <c r="C71" s="33" t="s">
        <v>59</v>
      </c>
      <c r="D71" s="40" t="s">
        <v>326</v>
      </c>
      <c r="E71" s="41" t="s">
        <v>327</v>
      </c>
      <c r="F71" s="42" t="s">
        <v>328</v>
      </c>
      <c r="G71" s="50">
        <v>12</v>
      </c>
      <c r="H71" s="44">
        <f>J71/G71</f>
        <v>50</v>
      </c>
      <c r="I71" s="45" t="s">
        <v>90</v>
      </c>
      <c r="J71" s="51">
        <v>600</v>
      </c>
      <c r="K71" s="32">
        <v>49.35</v>
      </c>
      <c r="L71" s="238">
        <v>150</v>
      </c>
      <c r="M71" s="265">
        <v>61.64</v>
      </c>
      <c r="N71" s="32">
        <f t="shared" si="2"/>
        <v>199.35</v>
      </c>
      <c r="O71" s="246">
        <f t="shared" si="3"/>
        <v>400.65</v>
      </c>
      <c r="P71" s="1" t="s">
        <v>866</v>
      </c>
      <c r="R71" t="s">
        <v>326</v>
      </c>
      <c r="S71" t="s">
        <v>327</v>
      </c>
      <c r="T71" t="s">
        <v>328</v>
      </c>
      <c r="U71" s="32">
        <v>61.64</v>
      </c>
    </row>
    <row r="72" spans="1:21" ht="13.5">
      <c r="A72" s="1" t="s">
        <v>503</v>
      </c>
      <c r="B72" s="33" t="s">
        <v>32</v>
      </c>
      <c r="C72" s="258" t="s">
        <v>855</v>
      </c>
      <c r="D72" s="40" t="s">
        <v>329</v>
      </c>
      <c r="E72" s="41" t="s">
        <v>330</v>
      </c>
      <c r="F72" s="42" t="s">
        <v>331</v>
      </c>
      <c r="G72" s="50">
        <v>12</v>
      </c>
      <c r="H72" s="44">
        <v>750</v>
      </c>
      <c r="I72" s="45" t="s">
        <v>90</v>
      </c>
      <c r="J72" s="46">
        <v>9000</v>
      </c>
      <c r="K72" s="32">
        <v>0</v>
      </c>
      <c r="L72" s="238">
        <v>0</v>
      </c>
      <c r="M72" s="265">
        <v>520.89</v>
      </c>
      <c r="N72" s="32">
        <f t="shared" si="2"/>
        <v>0</v>
      </c>
      <c r="O72" s="32">
        <f t="shared" si="3"/>
        <v>9000</v>
      </c>
      <c r="P72" t="s">
        <v>849</v>
      </c>
      <c r="R72" t="s">
        <v>329</v>
      </c>
      <c r="S72" t="s">
        <v>330</v>
      </c>
      <c r="T72" t="s">
        <v>331</v>
      </c>
      <c r="U72" s="32">
        <v>520.89</v>
      </c>
    </row>
    <row r="73" spans="1:21" ht="13.5">
      <c r="A73" s="1" t="s">
        <v>503</v>
      </c>
      <c r="B73" s="33" t="s">
        <v>32</v>
      </c>
      <c r="C73" s="258" t="s">
        <v>855</v>
      </c>
      <c r="D73" s="40" t="s">
        <v>332</v>
      </c>
      <c r="E73" s="41" t="s">
        <v>333</v>
      </c>
      <c r="F73" s="42" t="s">
        <v>334</v>
      </c>
      <c r="G73" s="50">
        <v>12</v>
      </c>
      <c r="H73" s="44">
        <f>J73/G73</f>
        <v>100</v>
      </c>
      <c r="I73" s="45" t="s">
        <v>90</v>
      </c>
      <c r="J73" s="46">
        <v>1200</v>
      </c>
      <c r="K73" s="32">
        <v>1952.5100000000002</v>
      </c>
      <c r="L73" s="238">
        <v>150</v>
      </c>
      <c r="M73" s="265">
        <v>2312.0800000000004</v>
      </c>
      <c r="N73" s="32">
        <f t="shared" si="2"/>
        <v>2102.51</v>
      </c>
      <c r="O73" s="32">
        <f t="shared" si="3"/>
        <v>-902.5100000000002</v>
      </c>
      <c r="P73" s="1" t="s">
        <v>849</v>
      </c>
      <c r="R73" t="s">
        <v>332</v>
      </c>
      <c r="S73" t="s">
        <v>333</v>
      </c>
      <c r="T73" t="s">
        <v>334</v>
      </c>
      <c r="U73" s="32">
        <v>2312.0800000000004</v>
      </c>
    </row>
    <row r="74" spans="1:21" ht="13.5">
      <c r="A74" s="1" t="s">
        <v>503</v>
      </c>
      <c r="B74" s="33" t="s">
        <v>32</v>
      </c>
      <c r="C74" s="258" t="s">
        <v>855</v>
      </c>
      <c r="D74" s="40" t="s">
        <v>335</v>
      </c>
      <c r="E74" s="41" t="s">
        <v>336</v>
      </c>
      <c r="F74" s="42" t="s">
        <v>337</v>
      </c>
      <c r="G74" s="50">
        <v>12</v>
      </c>
      <c r="H74" s="44">
        <f>J74/G74</f>
        <v>100</v>
      </c>
      <c r="I74" s="45" t="s">
        <v>90</v>
      </c>
      <c r="J74" s="46">
        <v>1200</v>
      </c>
      <c r="K74" s="32">
        <v>0</v>
      </c>
      <c r="L74" s="238">
        <v>150</v>
      </c>
      <c r="M74" s="265">
        <v>1277.13</v>
      </c>
      <c r="N74" s="32">
        <f t="shared" si="2"/>
        <v>150</v>
      </c>
      <c r="O74" s="32">
        <f t="shared" si="3"/>
        <v>1050</v>
      </c>
      <c r="P74" s="1" t="s">
        <v>866</v>
      </c>
      <c r="R74" t="s">
        <v>335</v>
      </c>
      <c r="S74" t="s">
        <v>336</v>
      </c>
      <c r="T74" t="s">
        <v>337</v>
      </c>
      <c r="U74" s="32">
        <v>1277.13</v>
      </c>
    </row>
    <row r="75" spans="1:21" ht="13.5">
      <c r="A75" s="1" t="s">
        <v>503</v>
      </c>
      <c r="B75" s="33" t="s">
        <v>32</v>
      </c>
      <c r="C75" s="258" t="s">
        <v>855</v>
      </c>
      <c r="D75" s="40" t="s">
        <v>338</v>
      </c>
      <c r="E75" s="41" t="s">
        <v>339</v>
      </c>
      <c r="F75" s="42" t="s">
        <v>340</v>
      </c>
      <c r="G75" s="50">
        <v>12</v>
      </c>
      <c r="H75" s="44">
        <f>J75/G75</f>
        <v>100</v>
      </c>
      <c r="I75" s="45" t="s">
        <v>90</v>
      </c>
      <c r="J75" s="46">
        <v>1200</v>
      </c>
      <c r="K75" s="32">
        <v>331.02</v>
      </c>
      <c r="L75" s="238">
        <v>150</v>
      </c>
      <c r="M75" s="265">
        <v>411.96000000000004</v>
      </c>
      <c r="N75" s="32">
        <f t="shared" si="2"/>
        <v>481.02</v>
      </c>
      <c r="O75" s="32">
        <f t="shared" si="3"/>
        <v>718.98</v>
      </c>
      <c r="P75" s="1" t="s">
        <v>866</v>
      </c>
      <c r="R75" t="s">
        <v>338</v>
      </c>
      <c r="S75" t="s">
        <v>339</v>
      </c>
      <c r="T75" t="s">
        <v>340</v>
      </c>
      <c r="U75" s="32">
        <v>411.96000000000004</v>
      </c>
    </row>
    <row r="76" spans="1:21" ht="13.5">
      <c r="A76" s="1" t="s">
        <v>503</v>
      </c>
      <c r="B76" s="33" t="s">
        <v>26</v>
      </c>
      <c r="C76" s="33" t="s">
        <v>58</v>
      </c>
      <c r="D76" s="40" t="s">
        <v>341</v>
      </c>
      <c r="E76" s="41" t="s">
        <v>342</v>
      </c>
      <c r="F76" s="42" t="s">
        <v>343</v>
      </c>
      <c r="G76" s="43">
        <v>5</v>
      </c>
      <c r="H76" s="47">
        <v>800</v>
      </c>
      <c r="I76" s="47" t="s">
        <v>90</v>
      </c>
      <c r="J76" s="46">
        <v>4000</v>
      </c>
      <c r="K76" s="32">
        <v>2659</v>
      </c>
      <c r="L76" s="238">
        <v>800</v>
      </c>
      <c r="M76" s="265">
        <v>2659</v>
      </c>
      <c r="N76" s="32">
        <f t="shared" si="2"/>
        <v>3459</v>
      </c>
      <c r="O76" s="32">
        <f t="shared" si="3"/>
        <v>541</v>
      </c>
      <c r="P76" t="s">
        <v>849</v>
      </c>
      <c r="R76" t="s">
        <v>341</v>
      </c>
      <c r="S76" t="s">
        <v>342</v>
      </c>
      <c r="T76" t="s">
        <v>343</v>
      </c>
      <c r="U76" s="32">
        <v>2659</v>
      </c>
    </row>
    <row r="77" spans="1:21" ht="13.5">
      <c r="A77" s="1" t="s">
        <v>503</v>
      </c>
      <c r="B77" s="33" t="s">
        <v>26</v>
      </c>
      <c r="C77" s="33" t="s">
        <v>58</v>
      </c>
      <c r="D77" s="40" t="s">
        <v>344</v>
      </c>
      <c r="E77" s="41" t="s">
        <v>345</v>
      </c>
      <c r="F77" s="42" t="s">
        <v>346</v>
      </c>
      <c r="G77" s="43">
        <v>6</v>
      </c>
      <c r="H77" s="47">
        <v>525</v>
      </c>
      <c r="I77" s="47" t="s">
        <v>90</v>
      </c>
      <c r="J77" s="46">
        <v>3150</v>
      </c>
      <c r="K77" s="32">
        <v>4711.12</v>
      </c>
      <c r="L77" s="238">
        <v>500</v>
      </c>
      <c r="M77" s="265">
        <v>2240</v>
      </c>
      <c r="N77" s="32">
        <f t="shared" si="2"/>
        <v>5211.12</v>
      </c>
      <c r="O77" s="32">
        <f t="shared" si="3"/>
        <v>-2061.12</v>
      </c>
      <c r="P77" s="1" t="s">
        <v>849</v>
      </c>
      <c r="R77" t="s">
        <v>344</v>
      </c>
      <c r="S77" t="s">
        <v>345</v>
      </c>
      <c r="T77" t="s">
        <v>346</v>
      </c>
      <c r="U77" s="32">
        <v>2240</v>
      </c>
    </row>
    <row r="78" spans="1:21" ht="13.5">
      <c r="A78" s="1" t="s">
        <v>503</v>
      </c>
      <c r="B78" s="33" t="s">
        <v>8</v>
      </c>
      <c r="C78" s="33" t="s">
        <v>58</v>
      </c>
      <c r="D78" s="40" t="s">
        <v>347</v>
      </c>
      <c r="E78" s="41" t="s">
        <v>348</v>
      </c>
      <c r="F78" s="42" t="s">
        <v>349</v>
      </c>
      <c r="G78" s="43">
        <v>20</v>
      </c>
      <c r="H78" s="47">
        <v>300</v>
      </c>
      <c r="I78" s="47" t="s">
        <v>350</v>
      </c>
      <c r="J78" s="46">
        <v>6000</v>
      </c>
      <c r="K78" s="32">
        <v>5035.24</v>
      </c>
      <c r="L78" s="238">
        <v>500</v>
      </c>
      <c r="M78" s="265">
        <v>5716.480000000001</v>
      </c>
      <c r="N78" s="32">
        <f t="shared" si="2"/>
        <v>5535.24</v>
      </c>
      <c r="O78" s="32">
        <f t="shared" si="3"/>
        <v>464.7600000000002</v>
      </c>
      <c r="P78" s="1" t="s">
        <v>866</v>
      </c>
      <c r="R78" t="s">
        <v>347</v>
      </c>
      <c r="S78" t="s">
        <v>348</v>
      </c>
      <c r="T78" t="s">
        <v>349</v>
      </c>
      <c r="U78" s="32">
        <v>5716.480000000001</v>
      </c>
    </row>
    <row r="79" spans="1:21" ht="13.5">
      <c r="A79" s="1" t="s">
        <v>503</v>
      </c>
      <c r="B79" s="33" t="s">
        <v>8</v>
      </c>
      <c r="C79" s="33" t="s">
        <v>58</v>
      </c>
      <c r="D79" s="40" t="s">
        <v>351</v>
      </c>
      <c r="E79" s="41" t="s">
        <v>352</v>
      </c>
      <c r="F79" s="42" t="s">
        <v>353</v>
      </c>
      <c r="G79" s="48">
        <v>6</v>
      </c>
      <c r="H79" s="49">
        <v>3200</v>
      </c>
      <c r="I79" s="49" t="s">
        <v>90</v>
      </c>
      <c r="J79" s="46">
        <v>19200</v>
      </c>
      <c r="K79" s="32">
        <v>10122.05</v>
      </c>
      <c r="L79" s="238">
        <v>2000</v>
      </c>
      <c r="M79" s="265">
        <v>18366.29</v>
      </c>
      <c r="N79" s="32">
        <f t="shared" si="2"/>
        <v>12122.05</v>
      </c>
      <c r="O79" s="32">
        <f t="shared" si="3"/>
        <v>7077.950000000001</v>
      </c>
      <c r="P79" s="1" t="s">
        <v>866</v>
      </c>
      <c r="R79" t="s">
        <v>351</v>
      </c>
      <c r="S79" t="s">
        <v>352</v>
      </c>
      <c r="T79" t="s">
        <v>353</v>
      </c>
      <c r="U79" s="32">
        <v>18366.29</v>
      </c>
    </row>
    <row r="80" spans="1:21" ht="33">
      <c r="A80" s="1" t="s">
        <v>503</v>
      </c>
      <c r="B80" s="33" t="s">
        <v>8</v>
      </c>
      <c r="C80" s="257" t="s">
        <v>44</v>
      </c>
      <c r="D80" s="40" t="s">
        <v>354</v>
      </c>
      <c r="E80" s="41" t="s">
        <v>355</v>
      </c>
      <c r="F80" s="42" t="s">
        <v>356</v>
      </c>
      <c r="G80" s="43">
        <v>12</v>
      </c>
      <c r="H80" s="47">
        <v>100</v>
      </c>
      <c r="I80" s="47" t="s">
        <v>90</v>
      </c>
      <c r="J80" s="46">
        <v>1200</v>
      </c>
      <c r="K80" s="32">
        <v>1421.95</v>
      </c>
      <c r="L80" s="238">
        <v>150</v>
      </c>
      <c r="M80" s="265">
        <v>274.63</v>
      </c>
      <c r="N80" s="32">
        <f t="shared" si="2"/>
        <v>1571.95</v>
      </c>
      <c r="O80" s="32">
        <f t="shared" si="3"/>
        <v>-371.95000000000005</v>
      </c>
      <c r="P80" s="1" t="s">
        <v>849</v>
      </c>
      <c r="R80" t="s">
        <v>354</v>
      </c>
      <c r="S80" t="s">
        <v>355</v>
      </c>
      <c r="T80" t="s">
        <v>356</v>
      </c>
      <c r="U80" s="32">
        <v>274.63</v>
      </c>
    </row>
    <row r="81" spans="1:21" ht="13.5">
      <c r="A81" s="1" t="s">
        <v>503</v>
      </c>
      <c r="B81" s="33" t="s">
        <v>8</v>
      </c>
      <c r="C81" s="33" t="s">
        <v>58</v>
      </c>
      <c r="D81" s="40" t="s">
        <v>357</v>
      </c>
      <c r="E81" s="41" t="s">
        <v>358</v>
      </c>
      <c r="F81" s="42" t="s">
        <v>359</v>
      </c>
      <c r="G81" s="43">
        <v>4</v>
      </c>
      <c r="H81" s="47">
        <v>1500</v>
      </c>
      <c r="I81" s="47" t="s">
        <v>350</v>
      </c>
      <c r="J81" s="46">
        <v>6000</v>
      </c>
      <c r="K81" s="32">
        <v>139.98999999999998</v>
      </c>
      <c r="L81" s="238">
        <v>0</v>
      </c>
      <c r="M81" s="265">
        <v>3590.08</v>
      </c>
      <c r="N81" s="32">
        <f t="shared" si="2"/>
        <v>139.98999999999998</v>
      </c>
      <c r="O81" s="32">
        <f t="shared" si="3"/>
        <v>5860.01</v>
      </c>
      <c r="P81" t="s">
        <v>849</v>
      </c>
      <c r="R81" t="s">
        <v>357</v>
      </c>
      <c r="S81" t="s">
        <v>358</v>
      </c>
      <c r="T81" t="s">
        <v>359</v>
      </c>
      <c r="U81" s="32">
        <v>3590.08</v>
      </c>
    </row>
    <row r="82" spans="1:21" ht="13.5">
      <c r="A82" s="1" t="s">
        <v>503</v>
      </c>
      <c r="B82" s="33" t="s">
        <v>26</v>
      </c>
      <c r="C82" s="33" t="s">
        <v>58</v>
      </c>
      <c r="D82" s="40" t="s">
        <v>360</v>
      </c>
      <c r="E82" s="41" t="s">
        <v>361</v>
      </c>
      <c r="F82" s="42" t="s">
        <v>362</v>
      </c>
      <c r="G82" s="43">
        <v>5</v>
      </c>
      <c r="H82" s="47">
        <v>800</v>
      </c>
      <c r="I82" s="47" t="s">
        <v>90</v>
      </c>
      <c r="J82" s="46">
        <v>4000</v>
      </c>
      <c r="K82" s="32">
        <v>3256</v>
      </c>
      <c r="L82" s="238">
        <v>750</v>
      </c>
      <c r="M82" s="265">
        <v>3919</v>
      </c>
      <c r="N82" s="32">
        <f t="shared" si="2"/>
        <v>4006</v>
      </c>
      <c r="O82" s="32">
        <f t="shared" si="3"/>
        <v>-6</v>
      </c>
      <c r="P82" s="1" t="s">
        <v>849</v>
      </c>
      <c r="R82" t="s">
        <v>360</v>
      </c>
      <c r="S82" t="s">
        <v>361</v>
      </c>
      <c r="T82" t="s">
        <v>362</v>
      </c>
      <c r="U82" s="32">
        <v>3919</v>
      </c>
    </row>
    <row r="83" spans="1:21" ht="13.5">
      <c r="A83" s="1" t="s">
        <v>503</v>
      </c>
      <c r="B83" s="33" t="s">
        <v>8</v>
      </c>
      <c r="C83" s="33" t="s">
        <v>58</v>
      </c>
      <c r="D83" s="40" t="s">
        <v>363</v>
      </c>
      <c r="E83" s="41" t="s">
        <v>364</v>
      </c>
      <c r="F83" s="42" t="s">
        <v>365</v>
      </c>
      <c r="G83" s="43">
        <v>4</v>
      </c>
      <c r="H83" s="47">
        <v>300</v>
      </c>
      <c r="I83" s="47" t="s">
        <v>350</v>
      </c>
      <c r="J83" s="46">
        <v>1200</v>
      </c>
      <c r="K83" s="32">
        <v>0</v>
      </c>
      <c r="L83" s="238">
        <v>0</v>
      </c>
      <c r="M83" s="265">
        <v>0</v>
      </c>
      <c r="N83" s="32">
        <f t="shared" si="2"/>
        <v>0</v>
      </c>
      <c r="O83" s="32">
        <f t="shared" si="3"/>
        <v>1200</v>
      </c>
      <c r="P83" s="1" t="s">
        <v>866</v>
      </c>
      <c r="R83" t="s">
        <v>363</v>
      </c>
      <c r="S83" t="s">
        <v>364</v>
      </c>
      <c r="T83" t="s">
        <v>365</v>
      </c>
      <c r="U83" s="32">
        <v>0</v>
      </c>
    </row>
    <row r="84" spans="1:21" ht="33">
      <c r="A84" s="1" t="s">
        <v>503</v>
      </c>
      <c r="B84" s="33" t="s">
        <v>8</v>
      </c>
      <c r="C84" s="257" t="s">
        <v>44</v>
      </c>
      <c r="D84" s="40" t="s">
        <v>366</v>
      </c>
      <c r="E84" s="41" t="s">
        <v>367</v>
      </c>
      <c r="F84" s="42" t="s">
        <v>368</v>
      </c>
      <c r="G84" s="43">
        <v>12</v>
      </c>
      <c r="H84" s="47">
        <v>100</v>
      </c>
      <c r="I84" s="47" t="s">
        <v>90</v>
      </c>
      <c r="J84" s="46">
        <v>1200</v>
      </c>
      <c r="K84" s="32">
        <v>1850.36</v>
      </c>
      <c r="L84" s="238">
        <v>150</v>
      </c>
      <c r="M84" s="265">
        <v>0</v>
      </c>
      <c r="N84" s="32">
        <f t="shared" si="2"/>
        <v>2000.36</v>
      </c>
      <c r="O84" s="32">
        <f t="shared" si="3"/>
        <v>-800.3599999999999</v>
      </c>
      <c r="P84" s="1" t="s">
        <v>849</v>
      </c>
      <c r="R84" t="s">
        <v>366</v>
      </c>
      <c r="S84" t="s">
        <v>367</v>
      </c>
      <c r="T84" t="s">
        <v>368</v>
      </c>
      <c r="U84" s="32">
        <v>0</v>
      </c>
    </row>
    <row r="85" spans="1:21" ht="13.5">
      <c r="A85" s="1" t="s">
        <v>503</v>
      </c>
      <c r="B85" s="33" t="s">
        <v>26</v>
      </c>
      <c r="C85" s="33" t="s">
        <v>58</v>
      </c>
      <c r="D85" s="40" t="s">
        <v>369</v>
      </c>
      <c r="E85" s="41" t="s">
        <v>370</v>
      </c>
      <c r="F85" s="42" t="s">
        <v>371</v>
      </c>
      <c r="G85" s="43">
        <v>6</v>
      </c>
      <c r="H85" s="47">
        <v>800</v>
      </c>
      <c r="I85" s="47" t="s">
        <v>90</v>
      </c>
      <c r="J85" s="46">
        <v>4800</v>
      </c>
      <c r="K85" s="32">
        <v>2038</v>
      </c>
      <c r="L85" s="238">
        <v>800</v>
      </c>
      <c r="M85" s="265">
        <v>2038</v>
      </c>
      <c r="N85" s="32">
        <f t="shared" si="2"/>
        <v>2838</v>
      </c>
      <c r="O85" s="32">
        <f t="shared" si="3"/>
        <v>1962</v>
      </c>
      <c r="P85" s="1" t="s">
        <v>849</v>
      </c>
      <c r="R85" t="s">
        <v>369</v>
      </c>
      <c r="S85" t="s">
        <v>370</v>
      </c>
      <c r="T85" t="s">
        <v>371</v>
      </c>
      <c r="U85" s="32">
        <v>2038</v>
      </c>
    </row>
    <row r="86" spans="1:21" ht="13.5">
      <c r="A86" s="1" t="s">
        <v>503</v>
      </c>
      <c r="B86" s="33" t="s">
        <v>8</v>
      </c>
      <c r="C86" s="33" t="s">
        <v>58</v>
      </c>
      <c r="D86" s="40" t="s">
        <v>372</v>
      </c>
      <c r="E86" s="41" t="s">
        <v>373</v>
      </c>
      <c r="F86" s="42" t="s">
        <v>374</v>
      </c>
      <c r="G86" s="43">
        <v>6</v>
      </c>
      <c r="H86" s="47">
        <v>300</v>
      </c>
      <c r="I86" s="47" t="s">
        <v>350</v>
      </c>
      <c r="J86" s="46">
        <v>1800</v>
      </c>
      <c r="K86" s="32">
        <v>153.05</v>
      </c>
      <c r="L86" s="238">
        <v>300</v>
      </c>
      <c r="M86" s="265">
        <v>1010.6700000000001</v>
      </c>
      <c r="N86" s="32">
        <f t="shared" si="2"/>
        <v>453.05</v>
      </c>
      <c r="O86" s="32">
        <f t="shared" si="3"/>
        <v>1346.95</v>
      </c>
      <c r="P86" s="1" t="s">
        <v>866</v>
      </c>
      <c r="R86" t="s">
        <v>372</v>
      </c>
      <c r="S86" t="s">
        <v>373</v>
      </c>
      <c r="T86" t="s">
        <v>374</v>
      </c>
      <c r="U86" s="32">
        <v>1010.6700000000001</v>
      </c>
    </row>
    <row r="87" spans="1:21" ht="13.5">
      <c r="A87" s="1" t="s">
        <v>503</v>
      </c>
      <c r="B87" s="33" t="s">
        <v>8</v>
      </c>
      <c r="C87" s="33" t="s">
        <v>58</v>
      </c>
      <c r="D87" s="40" t="s">
        <v>375</v>
      </c>
      <c r="E87" s="41" t="s">
        <v>376</v>
      </c>
      <c r="F87" s="42" t="s">
        <v>377</v>
      </c>
      <c r="G87" s="43">
        <v>12</v>
      </c>
      <c r="H87" s="47">
        <v>200</v>
      </c>
      <c r="I87" s="47" t="s">
        <v>90</v>
      </c>
      <c r="J87" s="46">
        <v>2400</v>
      </c>
      <c r="K87" s="32">
        <v>185.16</v>
      </c>
      <c r="L87" s="238">
        <v>250</v>
      </c>
      <c r="M87" s="265">
        <v>1225.19</v>
      </c>
      <c r="N87" s="32">
        <f t="shared" si="2"/>
        <v>435.15999999999997</v>
      </c>
      <c r="O87" s="246">
        <f t="shared" si="3"/>
        <v>1964.8400000000001</v>
      </c>
      <c r="P87" s="1" t="s">
        <v>866</v>
      </c>
      <c r="R87" t="s">
        <v>375</v>
      </c>
      <c r="S87" t="s">
        <v>376</v>
      </c>
      <c r="T87" t="s">
        <v>377</v>
      </c>
      <c r="U87" s="32">
        <v>1225.19</v>
      </c>
    </row>
    <row r="88" spans="1:21" ht="33">
      <c r="A88" s="1" t="s">
        <v>503</v>
      </c>
      <c r="B88" s="33" t="s">
        <v>8</v>
      </c>
      <c r="C88" s="257" t="s">
        <v>44</v>
      </c>
      <c r="D88" s="40" t="s">
        <v>378</v>
      </c>
      <c r="E88" s="41" t="s">
        <v>379</v>
      </c>
      <c r="F88" s="42" t="s">
        <v>380</v>
      </c>
      <c r="G88" s="43">
        <v>12</v>
      </c>
      <c r="H88" s="47">
        <v>100</v>
      </c>
      <c r="I88" s="47" t="s">
        <v>90</v>
      </c>
      <c r="J88" s="46">
        <v>1200</v>
      </c>
      <c r="K88" s="32">
        <v>0</v>
      </c>
      <c r="L88" s="238">
        <v>150</v>
      </c>
      <c r="M88" s="265">
        <v>0</v>
      </c>
      <c r="N88" s="32">
        <f t="shared" si="2"/>
        <v>150</v>
      </c>
      <c r="O88" s="32">
        <f t="shared" si="3"/>
        <v>1050</v>
      </c>
      <c r="P88" s="1" t="s">
        <v>866</v>
      </c>
      <c r="R88" t="s">
        <v>378</v>
      </c>
      <c r="S88" t="s">
        <v>379</v>
      </c>
      <c r="T88" t="s">
        <v>380</v>
      </c>
      <c r="U88" s="32">
        <v>0</v>
      </c>
    </row>
    <row r="89" spans="1:21" ht="13.5">
      <c r="A89" s="1" t="s">
        <v>503</v>
      </c>
      <c r="B89" s="33" t="s">
        <v>26</v>
      </c>
      <c r="C89" s="33" t="s">
        <v>59</v>
      </c>
      <c r="D89" s="40" t="s">
        <v>381</v>
      </c>
      <c r="E89" s="41" t="s">
        <v>382</v>
      </c>
      <c r="F89" s="42" t="s">
        <v>383</v>
      </c>
      <c r="G89" s="43">
        <v>360</v>
      </c>
      <c r="H89" s="47">
        <v>33</v>
      </c>
      <c r="I89" s="47" t="s">
        <v>384</v>
      </c>
      <c r="J89" s="46">
        <v>11880</v>
      </c>
      <c r="K89" s="32">
        <v>7307.5</v>
      </c>
      <c r="L89" s="238">
        <v>1800</v>
      </c>
      <c r="M89" s="265">
        <v>9686.26</v>
      </c>
      <c r="N89" s="32">
        <f t="shared" si="2"/>
        <v>9107.5</v>
      </c>
      <c r="O89" s="32">
        <f t="shared" si="3"/>
        <v>2772.5</v>
      </c>
      <c r="P89" s="1" t="s">
        <v>866</v>
      </c>
      <c r="R89" t="s">
        <v>381</v>
      </c>
      <c r="S89" t="s">
        <v>382</v>
      </c>
      <c r="T89" t="s">
        <v>383</v>
      </c>
      <c r="U89" s="32">
        <v>9686.26</v>
      </c>
    </row>
    <row r="90" spans="1:21" ht="13.5">
      <c r="A90" s="1" t="s">
        <v>503</v>
      </c>
      <c r="B90" s="33" t="s">
        <v>26</v>
      </c>
      <c r="C90" s="33" t="s">
        <v>59</v>
      </c>
      <c r="D90" s="40" t="s">
        <v>385</v>
      </c>
      <c r="E90" s="41" t="s">
        <v>386</v>
      </c>
      <c r="F90" s="42" t="s">
        <v>387</v>
      </c>
      <c r="G90" s="43">
        <v>8</v>
      </c>
      <c r="H90" s="47">
        <v>50</v>
      </c>
      <c r="I90" s="47" t="s">
        <v>384</v>
      </c>
      <c r="J90" s="46">
        <v>400</v>
      </c>
      <c r="K90" s="32">
        <v>150</v>
      </c>
      <c r="L90" s="238">
        <v>0</v>
      </c>
      <c r="M90" s="265">
        <v>150</v>
      </c>
      <c r="N90" s="32">
        <f t="shared" si="2"/>
        <v>150</v>
      </c>
      <c r="O90" s="32">
        <f t="shared" si="3"/>
        <v>250</v>
      </c>
      <c r="P90" s="1" t="s">
        <v>866</v>
      </c>
      <c r="R90" t="s">
        <v>385</v>
      </c>
      <c r="S90" t="s">
        <v>386</v>
      </c>
      <c r="T90" t="s">
        <v>387</v>
      </c>
      <c r="U90" s="32">
        <v>150</v>
      </c>
    </row>
    <row r="91" spans="1:21" ht="13.5">
      <c r="A91" s="1" t="s">
        <v>503</v>
      </c>
      <c r="B91" s="33" t="s">
        <v>26</v>
      </c>
      <c r="C91" s="33" t="s">
        <v>59</v>
      </c>
      <c r="D91" s="40" t="s">
        <v>388</v>
      </c>
      <c r="E91" s="41" t="s">
        <v>389</v>
      </c>
      <c r="F91" s="42" t="s">
        <v>390</v>
      </c>
      <c r="G91" s="48">
        <v>12</v>
      </c>
      <c r="H91" s="49">
        <v>100</v>
      </c>
      <c r="I91" s="49" t="s">
        <v>90</v>
      </c>
      <c r="J91" s="46">
        <v>1200</v>
      </c>
      <c r="K91" s="32">
        <v>288.90999999999997</v>
      </c>
      <c r="L91" s="238">
        <v>0</v>
      </c>
      <c r="M91" s="265">
        <v>535.92</v>
      </c>
      <c r="N91" s="32">
        <f t="shared" si="2"/>
        <v>288.90999999999997</v>
      </c>
      <c r="O91" s="32">
        <f t="shared" si="3"/>
        <v>911.09</v>
      </c>
      <c r="P91" s="1" t="s">
        <v>866</v>
      </c>
      <c r="R91" t="s">
        <v>388</v>
      </c>
      <c r="S91" t="s">
        <v>389</v>
      </c>
      <c r="T91" t="s">
        <v>390</v>
      </c>
      <c r="U91" s="32">
        <v>535.92</v>
      </c>
    </row>
    <row r="92" spans="1:21" ht="13.5">
      <c r="A92" s="1" t="s">
        <v>503</v>
      </c>
      <c r="B92" s="33" t="s">
        <v>26</v>
      </c>
      <c r="C92" s="33" t="s">
        <v>59</v>
      </c>
      <c r="D92" s="40" t="s">
        <v>391</v>
      </c>
      <c r="E92" s="41" t="s">
        <v>392</v>
      </c>
      <c r="F92" s="42" t="s">
        <v>393</v>
      </c>
      <c r="G92" s="43">
        <v>2</v>
      </c>
      <c r="H92" s="47">
        <v>600</v>
      </c>
      <c r="I92" s="47" t="s">
        <v>394</v>
      </c>
      <c r="J92" s="46">
        <v>1200</v>
      </c>
      <c r="K92" s="32">
        <v>553.48</v>
      </c>
      <c r="L92" s="238">
        <v>100</v>
      </c>
      <c r="M92" s="265">
        <v>599.47</v>
      </c>
      <c r="N92" s="32">
        <f t="shared" si="2"/>
        <v>653.48</v>
      </c>
      <c r="O92" s="32">
        <f t="shared" si="3"/>
        <v>546.52</v>
      </c>
      <c r="P92" s="1" t="s">
        <v>866</v>
      </c>
      <c r="R92" t="s">
        <v>391</v>
      </c>
      <c r="S92" t="s">
        <v>392</v>
      </c>
      <c r="T92" t="s">
        <v>393</v>
      </c>
      <c r="U92" s="32">
        <v>599.47</v>
      </c>
    </row>
    <row r="93" spans="1:21" ht="13.5">
      <c r="A93" s="1" t="s">
        <v>503</v>
      </c>
      <c r="B93" s="33" t="s">
        <v>26</v>
      </c>
      <c r="C93" s="33" t="s">
        <v>59</v>
      </c>
      <c r="D93" s="40" t="s">
        <v>395</v>
      </c>
      <c r="E93" s="41" t="s">
        <v>396</v>
      </c>
      <c r="F93" s="42" t="s">
        <v>397</v>
      </c>
      <c r="G93" s="43">
        <v>3</v>
      </c>
      <c r="H93" s="47">
        <v>300</v>
      </c>
      <c r="I93" s="47" t="s">
        <v>97</v>
      </c>
      <c r="J93" s="46">
        <v>900</v>
      </c>
      <c r="K93" s="32">
        <v>0</v>
      </c>
      <c r="L93" s="238">
        <v>300</v>
      </c>
      <c r="M93" s="265">
        <v>0</v>
      </c>
      <c r="N93" s="32">
        <f t="shared" si="2"/>
        <v>300</v>
      </c>
      <c r="O93" s="32">
        <f t="shared" si="3"/>
        <v>600</v>
      </c>
      <c r="P93" s="1" t="s">
        <v>866</v>
      </c>
      <c r="R93" t="s">
        <v>395</v>
      </c>
      <c r="S93" t="s">
        <v>396</v>
      </c>
      <c r="T93" t="s">
        <v>397</v>
      </c>
      <c r="U93" s="32">
        <v>0</v>
      </c>
    </row>
    <row r="94" spans="1:21" ht="13.5">
      <c r="A94" s="1" t="s">
        <v>503</v>
      </c>
      <c r="B94" s="33" t="s">
        <v>26</v>
      </c>
      <c r="C94" s="33" t="s">
        <v>59</v>
      </c>
      <c r="D94" s="40" t="s">
        <v>398</v>
      </c>
      <c r="E94" s="41" t="s">
        <v>399</v>
      </c>
      <c r="F94" s="42" t="s">
        <v>400</v>
      </c>
      <c r="G94" s="43">
        <v>12</v>
      </c>
      <c r="H94" s="47">
        <v>50</v>
      </c>
      <c r="I94" s="47" t="s">
        <v>90</v>
      </c>
      <c r="J94" s="46">
        <v>600</v>
      </c>
      <c r="K94" s="32">
        <v>0</v>
      </c>
      <c r="L94" s="238">
        <v>0</v>
      </c>
      <c r="M94" s="265">
        <v>0</v>
      </c>
      <c r="N94" s="32">
        <f t="shared" si="2"/>
        <v>0</v>
      </c>
      <c r="O94" s="32">
        <f t="shared" si="3"/>
        <v>600</v>
      </c>
      <c r="P94" s="1" t="s">
        <v>866</v>
      </c>
      <c r="R94" t="s">
        <v>398</v>
      </c>
      <c r="S94" t="s">
        <v>399</v>
      </c>
      <c r="T94" t="s">
        <v>400</v>
      </c>
      <c r="U94" s="32">
        <v>0</v>
      </c>
    </row>
    <row r="95" spans="1:21" ht="13.5">
      <c r="A95" s="1" t="s">
        <v>503</v>
      </c>
      <c r="B95" s="33" t="s">
        <v>34</v>
      </c>
      <c r="C95" s="33" t="s">
        <v>48</v>
      </c>
      <c r="D95" s="40" t="s">
        <v>113</v>
      </c>
      <c r="E95" s="41" t="s">
        <v>114</v>
      </c>
      <c r="F95" s="42" t="s">
        <v>115</v>
      </c>
      <c r="G95" s="43">
        <v>12</v>
      </c>
      <c r="H95" s="47">
        <v>200</v>
      </c>
      <c r="I95" s="47" t="s">
        <v>90</v>
      </c>
      <c r="J95" s="46">
        <v>2400</v>
      </c>
      <c r="K95" s="32">
        <v>4447.35</v>
      </c>
      <c r="L95" s="238">
        <v>3000</v>
      </c>
      <c r="M95" s="265">
        <v>2392.7700000000004</v>
      </c>
      <c r="N95" s="32">
        <f t="shared" si="2"/>
        <v>7447.35</v>
      </c>
      <c r="O95" s="32">
        <f t="shared" si="3"/>
        <v>-5047.35</v>
      </c>
      <c r="P95" s="1" t="s">
        <v>849</v>
      </c>
      <c r="R95" t="s">
        <v>113</v>
      </c>
      <c r="S95" t="s">
        <v>114</v>
      </c>
      <c r="T95" t="s">
        <v>115</v>
      </c>
      <c r="U95" s="32">
        <v>2392.7700000000004</v>
      </c>
    </row>
    <row r="96" spans="1:21" ht="13.5">
      <c r="A96" s="1" t="s">
        <v>503</v>
      </c>
      <c r="B96" s="33" t="s">
        <v>34</v>
      </c>
      <c r="C96" s="33" t="s">
        <v>48</v>
      </c>
      <c r="D96" s="40" t="s">
        <v>110</v>
      </c>
      <c r="E96" s="41" t="s">
        <v>111</v>
      </c>
      <c r="F96" s="42" t="s">
        <v>112</v>
      </c>
      <c r="G96" s="43">
        <v>12</v>
      </c>
      <c r="H96" s="47">
        <v>200</v>
      </c>
      <c r="I96" s="47" t="s">
        <v>90</v>
      </c>
      <c r="J96" s="46">
        <v>2400</v>
      </c>
      <c r="K96" s="32">
        <v>1787.18</v>
      </c>
      <c r="L96" s="238">
        <v>1000</v>
      </c>
      <c r="M96" s="265">
        <v>3385.4500000000003</v>
      </c>
      <c r="N96" s="32">
        <f t="shared" si="2"/>
        <v>2787.1800000000003</v>
      </c>
      <c r="O96" s="32">
        <f t="shared" si="3"/>
        <v>-387.1800000000003</v>
      </c>
      <c r="P96" s="1" t="s">
        <v>849</v>
      </c>
      <c r="R96" t="s">
        <v>110</v>
      </c>
      <c r="S96" t="s">
        <v>111</v>
      </c>
      <c r="T96" t="s">
        <v>112</v>
      </c>
      <c r="U96" s="32">
        <v>3385.4500000000003</v>
      </c>
    </row>
    <row r="97" spans="1:21" ht="13.5">
      <c r="A97" s="1" t="s">
        <v>503</v>
      </c>
      <c r="B97" s="33" t="s">
        <v>34</v>
      </c>
      <c r="C97" s="33" t="s">
        <v>48</v>
      </c>
      <c r="D97" s="40" t="s">
        <v>107</v>
      </c>
      <c r="E97" s="41" t="s">
        <v>108</v>
      </c>
      <c r="F97" s="42" t="s">
        <v>109</v>
      </c>
      <c r="G97" s="43">
        <v>12</v>
      </c>
      <c r="H97" s="47">
        <v>200</v>
      </c>
      <c r="I97" s="47" t="s">
        <v>90</v>
      </c>
      <c r="J97" s="46">
        <v>2400</v>
      </c>
      <c r="K97" s="32">
        <v>6507.63</v>
      </c>
      <c r="L97" s="238">
        <v>1500</v>
      </c>
      <c r="M97" s="265">
        <v>3571.92</v>
      </c>
      <c r="N97" s="32">
        <f t="shared" si="2"/>
        <v>8007.63</v>
      </c>
      <c r="O97" s="32">
        <f t="shared" si="3"/>
        <v>-5607.63</v>
      </c>
      <c r="P97" s="1" t="s">
        <v>849</v>
      </c>
      <c r="R97" t="s">
        <v>107</v>
      </c>
      <c r="S97" t="s">
        <v>108</v>
      </c>
      <c r="T97" t="s">
        <v>109</v>
      </c>
      <c r="U97" s="32">
        <v>3571.92</v>
      </c>
    </row>
    <row r="98" spans="1:21" ht="13.5">
      <c r="A98" s="1" t="s">
        <v>503</v>
      </c>
      <c r="B98" s="33" t="s">
        <v>34</v>
      </c>
      <c r="C98" s="33" t="s">
        <v>59</v>
      </c>
      <c r="D98" s="40" t="s">
        <v>104</v>
      </c>
      <c r="E98" s="41" t="s">
        <v>105</v>
      </c>
      <c r="F98" s="42" t="s">
        <v>106</v>
      </c>
      <c r="G98" s="43">
        <v>12</v>
      </c>
      <c r="H98" s="47">
        <v>75</v>
      </c>
      <c r="I98" s="47" t="s">
        <v>90</v>
      </c>
      <c r="J98" s="46">
        <v>900</v>
      </c>
      <c r="K98" s="32">
        <v>1176.7000000000003</v>
      </c>
      <c r="L98" s="238">
        <v>500</v>
      </c>
      <c r="M98" s="265">
        <v>1176.6999999999998</v>
      </c>
      <c r="N98" s="32">
        <f t="shared" si="2"/>
        <v>1676.7000000000003</v>
      </c>
      <c r="O98" s="32">
        <f t="shared" si="3"/>
        <v>-776.7000000000003</v>
      </c>
      <c r="P98" s="1" t="s">
        <v>849</v>
      </c>
      <c r="R98" t="s">
        <v>104</v>
      </c>
      <c r="S98" t="s">
        <v>105</v>
      </c>
      <c r="T98" t="s">
        <v>106</v>
      </c>
      <c r="U98" s="32">
        <v>1176.6999999999998</v>
      </c>
    </row>
    <row r="99" spans="1:21" ht="13.5">
      <c r="A99" s="1" t="s">
        <v>503</v>
      </c>
      <c r="B99" s="33" t="s">
        <v>34</v>
      </c>
      <c r="C99" s="33" t="s">
        <v>59</v>
      </c>
      <c r="D99" s="40" t="s">
        <v>101</v>
      </c>
      <c r="E99" s="41" t="s">
        <v>102</v>
      </c>
      <c r="F99" s="42" t="s">
        <v>103</v>
      </c>
      <c r="G99" s="43">
        <v>1</v>
      </c>
      <c r="H99" s="47">
        <v>4000</v>
      </c>
      <c r="I99" s="47" t="s">
        <v>97</v>
      </c>
      <c r="J99" s="46">
        <v>4000</v>
      </c>
      <c r="K99" s="32">
        <v>0</v>
      </c>
      <c r="L99" s="238">
        <v>0</v>
      </c>
      <c r="M99" s="265">
        <v>0</v>
      </c>
      <c r="N99" s="32">
        <f t="shared" si="2"/>
        <v>0</v>
      </c>
      <c r="O99" s="246">
        <f t="shared" si="3"/>
        <v>4000</v>
      </c>
      <c r="P99" s="1" t="s">
        <v>866</v>
      </c>
      <c r="R99" t="s">
        <v>101</v>
      </c>
      <c r="S99" t="s">
        <v>102</v>
      </c>
      <c r="T99" t="s">
        <v>103</v>
      </c>
      <c r="U99" s="32">
        <v>0</v>
      </c>
    </row>
    <row r="100" spans="1:21" ht="33">
      <c r="A100" s="1" t="s">
        <v>503</v>
      </c>
      <c r="B100" s="191" t="s">
        <v>34</v>
      </c>
      <c r="C100" s="33" t="s">
        <v>59</v>
      </c>
      <c r="D100" s="40" t="s">
        <v>401</v>
      </c>
      <c r="E100" s="41" t="s">
        <v>402</v>
      </c>
      <c r="F100" s="42" t="s">
        <v>403</v>
      </c>
      <c r="G100" s="43">
        <v>1</v>
      </c>
      <c r="H100" s="47">
        <v>3500</v>
      </c>
      <c r="I100" s="47" t="s">
        <v>97</v>
      </c>
      <c r="J100" s="46">
        <v>3500</v>
      </c>
      <c r="K100" s="32">
        <v>1500</v>
      </c>
      <c r="L100" s="238">
        <v>0</v>
      </c>
      <c r="M100" s="265">
        <v>3019</v>
      </c>
      <c r="N100" s="32">
        <f t="shared" si="2"/>
        <v>1500</v>
      </c>
      <c r="O100" s="32">
        <f t="shared" si="3"/>
        <v>2000</v>
      </c>
      <c r="P100" s="1" t="s">
        <v>866</v>
      </c>
      <c r="R100" t="s">
        <v>401</v>
      </c>
      <c r="S100" t="s">
        <v>402</v>
      </c>
      <c r="T100" t="s">
        <v>403</v>
      </c>
      <c r="U100" s="32">
        <v>3019</v>
      </c>
    </row>
    <row r="101" spans="1:21" ht="33">
      <c r="A101" s="1" t="s">
        <v>503</v>
      </c>
      <c r="B101" s="191" t="s">
        <v>34</v>
      </c>
      <c r="C101" s="33" t="s">
        <v>59</v>
      </c>
      <c r="D101" s="40" t="s">
        <v>404</v>
      </c>
      <c r="E101" s="41" t="s">
        <v>405</v>
      </c>
      <c r="F101" s="42" t="s">
        <v>406</v>
      </c>
      <c r="G101" s="48"/>
      <c r="H101" s="49"/>
      <c r="I101" s="49"/>
      <c r="J101" s="46">
        <v>0.001</v>
      </c>
      <c r="K101" s="32">
        <v>76.83</v>
      </c>
      <c r="L101" s="238">
        <v>0</v>
      </c>
      <c r="M101" s="265">
        <v>0</v>
      </c>
      <c r="N101" s="32">
        <f t="shared" si="2"/>
        <v>76.83</v>
      </c>
      <c r="O101" s="32">
        <f t="shared" si="3"/>
        <v>-76.829</v>
      </c>
      <c r="P101" s="1" t="s">
        <v>849</v>
      </c>
      <c r="R101" t="s">
        <v>404</v>
      </c>
      <c r="S101" t="s">
        <v>405</v>
      </c>
      <c r="T101" t="s">
        <v>406</v>
      </c>
      <c r="U101" s="32">
        <v>0</v>
      </c>
    </row>
    <row r="102" spans="1:21" ht="13.5">
      <c r="A102" s="1" t="s">
        <v>503</v>
      </c>
      <c r="B102" s="33" t="s">
        <v>34</v>
      </c>
      <c r="C102" s="33" t="s">
        <v>59</v>
      </c>
      <c r="D102" s="40" t="s">
        <v>98</v>
      </c>
      <c r="E102" s="41" t="s">
        <v>99</v>
      </c>
      <c r="F102" s="42" t="s">
        <v>100</v>
      </c>
      <c r="G102" s="43">
        <v>1</v>
      </c>
      <c r="H102" s="47">
        <v>9000</v>
      </c>
      <c r="I102" s="47" t="s">
        <v>97</v>
      </c>
      <c r="J102" s="46">
        <v>9000</v>
      </c>
      <c r="K102" s="32">
        <v>1119.65</v>
      </c>
      <c r="L102" s="238">
        <v>0</v>
      </c>
      <c r="M102" s="265">
        <v>8424.449999999999</v>
      </c>
      <c r="N102" s="32">
        <f t="shared" si="2"/>
        <v>1119.65</v>
      </c>
      <c r="O102" s="32">
        <f t="shared" si="3"/>
        <v>7880.35</v>
      </c>
      <c r="P102" s="1" t="s">
        <v>866</v>
      </c>
      <c r="R102" t="s">
        <v>98</v>
      </c>
      <c r="S102" t="s">
        <v>99</v>
      </c>
      <c r="T102" t="s">
        <v>100</v>
      </c>
      <c r="U102" s="32">
        <v>8424.449999999999</v>
      </c>
    </row>
    <row r="103" spans="1:21" ht="33">
      <c r="A103" s="1" t="s">
        <v>503</v>
      </c>
      <c r="B103" s="191" t="s">
        <v>34</v>
      </c>
      <c r="C103" s="33" t="s">
        <v>59</v>
      </c>
      <c r="D103" s="40" t="s">
        <v>407</v>
      </c>
      <c r="E103" s="41" t="s">
        <v>408</v>
      </c>
      <c r="F103" s="42" t="s">
        <v>409</v>
      </c>
      <c r="G103" s="43">
        <v>12</v>
      </c>
      <c r="H103" s="47">
        <v>75</v>
      </c>
      <c r="I103" s="47" t="s">
        <v>90</v>
      </c>
      <c r="J103" s="46">
        <v>900</v>
      </c>
      <c r="K103" s="32">
        <v>103.71999999999998</v>
      </c>
      <c r="L103" s="238">
        <v>100</v>
      </c>
      <c r="M103" s="265">
        <v>323.24999999999994</v>
      </c>
      <c r="N103" s="32">
        <f t="shared" si="2"/>
        <v>203.71999999999997</v>
      </c>
      <c r="O103" s="32">
        <f t="shared" si="3"/>
        <v>696.28</v>
      </c>
      <c r="P103" s="1" t="s">
        <v>866</v>
      </c>
      <c r="R103" t="s">
        <v>407</v>
      </c>
      <c r="S103" t="s">
        <v>408</v>
      </c>
      <c r="T103" t="s">
        <v>409</v>
      </c>
      <c r="U103" s="32">
        <v>323.24999999999994</v>
      </c>
    </row>
    <row r="104" spans="1:21" ht="33">
      <c r="A104" s="1" t="s">
        <v>503</v>
      </c>
      <c r="B104" s="191" t="s">
        <v>34</v>
      </c>
      <c r="C104" s="33" t="s">
        <v>59</v>
      </c>
      <c r="D104" s="40" t="s">
        <v>410</v>
      </c>
      <c r="E104" s="41" t="s">
        <v>411</v>
      </c>
      <c r="F104" s="42" t="s">
        <v>412</v>
      </c>
      <c r="G104" s="43">
        <v>12</v>
      </c>
      <c r="H104" s="47">
        <v>75</v>
      </c>
      <c r="I104" s="47" t="s">
        <v>90</v>
      </c>
      <c r="J104" s="46">
        <v>900</v>
      </c>
      <c r="K104" s="32">
        <v>151.04999999999998</v>
      </c>
      <c r="L104" s="238">
        <v>100</v>
      </c>
      <c r="M104" s="265">
        <v>673.26</v>
      </c>
      <c r="N104" s="32">
        <f t="shared" si="2"/>
        <v>251.04999999999998</v>
      </c>
      <c r="O104" s="32">
        <f t="shared" si="3"/>
        <v>648.95</v>
      </c>
      <c r="P104" s="1" t="s">
        <v>866</v>
      </c>
      <c r="R104" t="s">
        <v>410</v>
      </c>
      <c r="S104" t="s">
        <v>411</v>
      </c>
      <c r="T104" t="s">
        <v>412</v>
      </c>
      <c r="U104" s="32">
        <v>673.26</v>
      </c>
    </row>
    <row r="105" spans="1:21" ht="13.5">
      <c r="A105" s="1" t="s">
        <v>503</v>
      </c>
      <c r="B105" s="33" t="s">
        <v>28</v>
      </c>
      <c r="C105" s="33" t="s">
        <v>48</v>
      </c>
      <c r="D105" s="40" t="s">
        <v>413</v>
      </c>
      <c r="E105" s="41" t="s">
        <v>414</v>
      </c>
      <c r="F105" s="42" t="s">
        <v>415</v>
      </c>
      <c r="G105" s="43">
        <v>1</v>
      </c>
      <c r="H105" s="47">
        <v>4000</v>
      </c>
      <c r="I105" s="47" t="s">
        <v>97</v>
      </c>
      <c r="J105" s="46">
        <v>4000</v>
      </c>
      <c r="K105" s="32">
        <v>4000</v>
      </c>
      <c r="L105" s="238">
        <v>3000</v>
      </c>
      <c r="M105" s="265">
        <v>4000</v>
      </c>
      <c r="N105" s="32">
        <f t="shared" si="2"/>
        <v>7000</v>
      </c>
      <c r="O105" s="32">
        <f t="shared" si="3"/>
        <v>-3000</v>
      </c>
      <c r="P105" s="1" t="s">
        <v>849</v>
      </c>
      <c r="R105" t="s">
        <v>413</v>
      </c>
      <c r="S105" t="s">
        <v>414</v>
      </c>
      <c r="T105" t="s">
        <v>415</v>
      </c>
      <c r="U105" s="32">
        <v>4000</v>
      </c>
    </row>
    <row r="106" spans="1:21" ht="13.5">
      <c r="A106" s="1" t="s">
        <v>503</v>
      </c>
      <c r="B106" s="33" t="s">
        <v>28</v>
      </c>
      <c r="C106" s="33" t="s">
        <v>48</v>
      </c>
      <c r="D106" s="40" t="s">
        <v>416</v>
      </c>
      <c r="E106" s="41" t="s">
        <v>417</v>
      </c>
      <c r="F106" s="42" t="s">
        <v>418</v>
      </c>
      <c r="G106" s="43">
        <v>1</v>
      </c>
      <c r="H106" s="47">
        <v>4000</v>
      </c>
      <c r="I106" s="47" t="s">
        <v>97</v>
      </c>
      <c r="J106" s="46">
        <v>4000</v>
      </c>
      <c r="K106" s="32">
        <v>4261.950000000001</v>
      </c>
      <c r="L106" s="238">
        <v>4000</v>
      </c>
      <c r="M106" s="265">
        <v>6444.31</v>
      </c>
      <c r="N106" s="32">
        <f t="shared" si="2"/>
        <v>8261.95</v>
      </c>
      <c r="O106" s="32">
        <f t="shared" si="3"/>
        <v>-4261.950000000001</v>
      </c>
      <c r="P106" s="1" t="s">
        <v>849</v>
      </c>
      <c r="R106" t="s">
        <v>416</v>
      </c>
      <c r="S106" t="s">
        <v>417</v>
      </c>
      <c r="T106" t="s">
        <v>418</v>
      </c>
      <c r="U106" s="32">
        <v>6444.31</v>
      </c>
    </row>
    <row r="107" spans="1:21" ht="13.5">
      <c r="A107" s="1" t="s">
        <v>503</v>
      </c>
      <c r="B107" s="33" t="s">
        <v>26</v>
      </c>
      <c r="C107" s="33" t="s">
        <v>856</v>
      </c>
      <c r="D107" s="40" t="s">
        <v>419</v>
      </c>
      <c r="E107" s="52">
        <v>12.1</v>
      </c>
      <c r="F107" s="42" t="s">
        <v>420</v>
      </c>
      <c r="G107" s="43">
        <v>4</v>
      </c>
      <c r="H107" s="47">
        <v>3000</v>
      </c>
      <c r="I107" s="47" t="s">
        <v>90</v>
      </c>
      <c r="J107" s="46">
        <v>12000</v>
      </c>
      <c r="K107" s="32">
        <v>0</v>
      </c>
      <c r="L107" s="238">
        <v>0</v>
      </c>
      <c r="M107" s="265">
        <v>0</v>
      </c>
      <c r="N107" s="32">
        <f t="shared" si="2"/>
        <v>0</v>
      </c>
      <c r="O107" s="32">
        <f t="shared" si="3"/>
        <v>12000</v>
      </c>
      <c r="P107" s="1" t="s">
        <v>866</v>
      </c>
      <c r="R107" t="s">
        <v>419</v>
      </c>
      <c r="S107">
        <v>12.1</v>
      </c>
      <c r="T107" t="s">
        <v>420</v>
      </c>
      <c r="U107" s="32">
        <v>0</v>
      </c>
    </row>
    <row r="108" spans="1:21" ht="13.5">
      <c r="A108" s="1" t="s">
        <v>503</v>
      </c>
      <c r="B108" s="33" t="s">
        <v>26</v>
      </c>
      <c r="C108" s="33" t="s">
        <v>856</v>
      </c>
      <c r="D108" s="40" t="s">
        <v>421</v>
      </c>
      <c r="E108" s="52">
        <v>12.2</v>
      </c>
      <c r="F108" s="42" t="s">
        <v>422</v>
      </c>
      <c r="G108" s="43">
        <v>4</v>
      </c>
      <c r="H108" s="47">
        <v>2000</v>
      </c>
      <c r="I108" s="47" t="s">
        <v>90</v>
      </c>
      <c r="J108" s="46">
        <v>8000</v>
      </c>
      <c r="K108" s="32">
        <v>0</v>
      </c>
      <c r="L108" s="238">
        <v>0</v>
      </c>
      <c r="M108" s="265">
        <v>0</v>
      </c>
      <c r="N108" s="32">
        <f t="shared" si="2"/>
        <v>0</v>
      </c>
      <c r="O108" s="32">
        <f t="shared" si="3"/>
        <v>8000</v>
      </c>
      <c r="P108" s="1" t="s">
        <v>866</v>
      </c>
      <c r="R108" t="s">
        <v>421</v>
      </c>
      <c r="S108">
        <v>12.2</v>
      </c>
      <c r="T108" t="s">
        <v>422</v>
      </c>
      <c r="U108" s="32">
        <v>0</v>
      </c>
    </row>
    <row r="109" spans="1:21" ht="13.5">
      <c r="A109" s="1" t="s">
        <v>503</v>
      </c>
      <c r="B109" s="33" t="s">
        <v>26</v>
      </c>
      <c r="C109" s="33" t="s">
        <v>856</v>
      </c>
      <c r="D109" s="40" t="s">
        <v>423</v>
      </c>
      <c r="E109" s="52">
        <v>12.3</v>
      </c>
      <c r="F109" s="42" t="s">
        <v>424</v>
      </c>
      <c r="G109" s="43">
        <v>40</v>
      </c>
      <c r="H109" s="47">
        <v>100</v>
      </c>
      <c r="I109" s="47" t="s">
        <v>384</v>
      </c>
      <c r="J109" s="46">
        <v>4000</v>
      </c>
      <c r="K109" s="32">
        <v>4007.41</v>
      </c>
      <c r="L109" s="238">
        <v>0</v>
      </c>
      <c r="M109" s="265">
        <v>4007.41</v>
      </c>
      <c r="N109" s="32">
        <f t="shared" si="2"/>
        <v>4007.41</v>
      </c>
      <c r="O109" s="32">
        <f t="shared" si="3"/>
        <v>-7.4099999999998545</v>
      </c>
      <c r="P109" s="1" t="s">
        <v>849</v>
      </c>
      <c r="R109" t="s">
        <v>423</v>
      </c>
      <c r="S109">
        <v>12.3</v>
      </c>
      <c r="T109" t="s">
        <v>424</v>
      </c>
      <c r="U109" s="32">
        <v>4007.41</v>
      </c>
    </row>
    <row r="110" spans="1:21" ht="13.5">
      <c r="A110" s="1" t="s">
        <v>503</v>
      </c>
      <c r="B110" s="33" t="s">
        <v>26</v>
      </c>
      <c r="C110" s="33" t="s">
        <v>856</v>
      </c>
      <c r="D110" s="40" t="s">
        <v>425</v>
      </c>
      <c r="E110" s="52">
        <v>12.4</v>
      </c>
      <c r="F110" s="42" t="s">
        <v>426</v>
      </c>
      <c r="G110" s="43">
        <v>40</v>
      </c>
      <c r="H110" s="47">
        <v>100</v>
      </c>
      <c r="I110" s="47" t="s">
        <v>384</v>
      </c>
      <c r="J110" s="46">
        <v>4000</v>
      </c>
      <c r="K110" s="32">
        <v>0</v>
      </c>
      <c r="L110" s="238">
        <v>0</v>
      </c>
      <c r="M110" s="265">
        <v>0</v>
      </c>
      <c r="N110" s="32">
        <f t="shared" si="2"/>
        <v>0</v>
      </c>
      <c r="O110" s="32">
        <f t="shared" si="3"/>
        <v>4000</v>
      </c>
      <c r="P110" s="1" t="s">
        <v>866</v>
      </c>
      <c r="R110" t="s">
        <v>425</v>
      </c>
      <c r="S110">
        <v>12.4</v>
      </c>
      <c r="T110" t="s">
        <v>426</v>
      </c>
      <c r="U110" s="32">
        <v>0</v>
      </c>
    </row>
    <row r="111" spans="1:21" ht="13.5">
      <c r="A111" s="1" t="s">
        <v>503</v>
      </c>
      <c r="B111" s="33" t="s">
        <v>26</v>
      </c>
      <c r="C111" s="33" t="s">
        <v>856</v>
      </c>
      <c r="D111" s="40" t="s">
        <v>427</v>
      </c>
      <c r="E111" s="52">
        <v>12.5</v>
      </c>
      <c r="F111" s="42" t="s">
        <v>428</v>
      </c>
      <c r="G111" s="43">
        <v>30</v>
      </c>
      <c r="H111" s="47">
        <v>50</v>
      </c>
      <c r="I111" s="47" t="s">
        <v>384</v>
      </c>
      <c r="J111" s="46">
        <v>1500</v>
      </c>
      <c r="K111" s="32">
        <v>0</v>
      </c>
      <c r="L111" s="238">
        <v>1500</v>
      </c>
      <c r="M111" s="265">
        <v>0</v>
      </c>
      <c r="N111" s="32">
        <f t="shared" si="2"/>
        <v>1500</v>
      </c>
      <c r="O111" s="246">
        <f t="shared" si="3"/>
        <v>0</v>
      </c>
      <c r="P111" s="1" t="s">
        <v>866</v>
      </c>
      <c r="R111" t="s">
        <v>427</v>
      </c>
      <c r="S111">
        <v>12.5</v>
      </c>
      <c r="T111" t="s">
        <v>428</v>
      </c>
      <c r="U111" s="32">
        <v>0</v>
      </c>
    </row>
    <row r="112" spans="1:21" ht="13.5">
      <c r="A112" s="1" t="s">
        <v>503</v>
      </c>
      <c r="B112" s="33" t="s">
        <v>26</v>
      </c>
      <c r="C112" s="33" t="s">
        <v>856</v>
      </c>
      <c r="D112" s="40" t="s">
        <v>429</v>
      </c>
      <c r="E112" s="52">
        <v>12.6</v>
      </c>
      <c r="F112" s="42" t="s">
        <v>430</v>
      </c>
      <c r="G112" s="43">
        <v>30</v>
      </c>
      <c r="H112" s="47">
        <v>50</v>
      </c>
      <c r="I112" s="47" t="s">
        <v>384</v>
      </c>
      <c r="J112" s="46">
        <v>1500</v>
      </c>
      <c r="K112" s="32">
        <v>0</v>
      </c>
      <c r="L112" s="238">
        <v>1000</v>
      </c>
      <c r="M112" s="265">
        <v>0</v>
      </c>
      <c r="N112" s="32">
        <f t="shared" si="2"/>
        <v>1000</v>
      </c>
      <c r="O112" s="32">
        <f t="shared" si="3"/>
        <v>500</v>
      </c>
      <c r="P112" s="1" t="s">
        <v>866</v>
      </c>
      <c r="R112" t="s">
        <v>429</v>
      </c>
      <c r="S112">
        <v>12.6</v>
      </c>
      <c r="T112" t="s">
        <v>430</v>
      </c>
      <c r="U112" s="32">
        <v>0</v>
      </c>
    </row>
    <row r="113" spans="1:21" ht="13.5">
      <c r="A113" s="1" t="s">
        <v>503</v>
      </c>
      <c r="B113" s="33" t="s">
        <v>26</v>
      </c>
      <c r="C113" s="33" t="s">
        <v>856</v>
      </c>
      <c r="D113" s="40" t="s">
        <v>431</v>
      </c>
      <c r="E113" s="52">
        <v>12.7</v>
      </c>
      <c r="F113" s="42" t="s">
        <v>432</v>
      </c>
      <c r="G113" s="43">
        <v>10</v>
      </c>
      <c r="H113" s="47">
        <v>50</v>
      </c>
      <c r="I113" s="47" t="s">
        <v>384</v>
      </c>
      <c r="J113" s="46">
        <v>500</v>
      </c>
      <c r="K113" s="32">
        <v>0</v>
      </c>
      <c r="L113" s="238">
        <v>1000</v>
      </c>
      <c r="M113" s="265">
        <v>298.15</v>
      </c>
      <c r="N113" s="32">
        <f t="shared" si="2"/>
        <v>1000</v>
      </c>
      <c r="O113" s="32">
        <f t="shared" si="3"/>
        <v>-500</v>
      </c>
      <c r="P113" s="1" t="s">
        <v>849</v>
      </c>
      <c r="R113" t="s">
        <v>431</v>
      </c>
      <c r="S113">
        <v>12.7</v>
      </c>
      <c r="T113" t="s">
        <v>432</v>
      </c>
      <c r="U113" s="32">
        <v>298.15</v>
      </c>
    </row>
    <row r="114" spans="1:21" ht="13.5">
      <c r="A114" s="1" t="s">
        <v>503</v>
      </c>
      <c r="B114" s="33" t="s">
        <v>26</v>
      </c>
      <c r="C114" s="33" t="s">
        <v>856</v>
      </c>
      <c r="D114" s="40" t="s">
        <v>433</v>
      </c>
      <c r="E114" s="52">
        <v>12.8</v>
      </c>
      <c r="F114" s="42" t="s">
        <v>434</v>
      </c>
      <c r="G114" s="43">
        <v>30</v>
      </c>
      <c r="H114" s="47">
        <v>30</v>
      </c>
      <c r="I114" s="47" t="s">
        <v>384</v>
      </c>
      <c r="J114" s="46">
        <v>900</v>
      </c>
      <c r="K114" s="32">
        <v>0</v>
      </c>
      <c r="L114" s="238">
        <v>0</v>
      </c>
      <c r="M114" s="265">
        <v>0</v>
      </c>
      <c r="N114" s="32">
        <f t="shared" si="2"/>
        <v>0</v>
      </c>
      <c r="O114" s="32">
        <f t="shared" si="3"/>
        <v>900</v>
      </c>
      <c r="P114" s="1" t="s">
        <v>866</v>
      </c>
      <c r="R114" t="s">
        <v>433</v>
      </c>
      <c r="S114">
        <v>12.8</v>
      </c>
      <c r="T114" t="s">
        <v>434</v>
      </c>
      <c r="U114" s="32">
        <v>0</v>
      </c>
    </row>
    <row r="115" spans="1:21" ht="13.5">
      <c r="A115" s="1" t="s">
        <v>503</v>
      </c>
      <c r="B115" s="33" t="s">
        <v>26</v>
      </c>
      <c r="C115" s="33" t="s">
        <v>856</v>
      </c>
      <c r="D115" s="40" t="s">
        <v>435</v>
      </c>
      <c r="E115" s="52">
        <v>12.9</v>
      </c>
      <c r="F115" s="42" t="s">
        <v>436</v>
      </c>
      <c r="G115" s="43">
        <v>30</v>
      </c>
      <c r="H115" s="47">
        <v>30</v>
      </c>
      <c r="I115" s="47" t="s">
        <v>384</v>
      </c>
      <c r="J115" s="46">
        <v>900</v>
      </c>
      <c r="K115" s="32">
        <v>0</v>
      </c>
      <c r="L115" s="238">
        <v>0</v>
      </c>
      <c r="M115" s="265">
        <v>159.15</v>
      </c>
      <c r="N115" s="32">
        <f t="shared" si="2"/>
        <v>0</v>
      </c>
      <c r="O115" s="32">
        <f t="shared" si="3"/>
        <v>900</v>
      </c>
      <c r="P115" s="1" t="s">
        <v>866</v>
      </c>
      <c r="R115" t="s">
        <v>435</v>
      </c>
      <c r="S115">
        <v>12.9</v>
      </c>
      <c r="T115" t="s">
        <v>436</v>
      </c>
      <c r="U115" s="32">
        <v>159.15</v>
      </c>
    </row>
    <row r="116" spans="1:21" ht="13.5">
      <c r="A116" s="1" t="s">
        <v>503</v>
      </c>
      <c r="B116" s="33" t="s">
        <v>26</v>
      </c>
      <c r="C116" s="33" t="s">
        <v>856</v>
      </c>
      <c r="D116" s="40" t="s">
        <v>437</v>
      </c>
      <c r="E116" s="53" t="s">
        <v>438</v>
      </c>
      <c r="F116" s="42" t="s">
        <v>439</v>
      </c>
      <c r="G116" s="43">
        <v>10</v>
      </c>
      <c r="H116" s="47">
        <v>30</v>
      </c>
      <c r="I116" s="47" t="s">
        <v>384</v>
      </c>
      <c r="J116" s="46">
        <v>300</v>
      </c>
      <c r="K116" s="32">
        <v>0</v>
      </c>
      <c r="L116" s="238">
        <v>0</v>
      </c>
      <c r="M116" s="265">
        <v>1109.3</v>
      </c>
      <c r="N116" s="32">
        <f t="shared" si="2"/>
        <v>0</v>
      </c>
      <c r="O116" s="32">
        <f t="shared" si="3"/>
        <v>300</v>
      </c>
      <c r="P116" s="1" t="s">
        <v>866</v>
      </c>
      <c r="R116" t="s">
        <v>437</v>
      </c>
      <c r="S116" t="s">
        <v>438</v>
      </c>
      <c r="T116" t="s">
        <v>439</v>
      </c>
      <c r="U116" s="32">
        <v>1109.3</v>
      </c>
    </row>
    <row r="117" spans="1:21" ht="13.5">
      <c r="A117" s="1" t="s">
        <v>503</v>
      </c>
      <c r="B117" s="33" t="s">
        <v>26</v>
      </c>
      <c r="C117" s="33" t="s">
        <v>856</v>
      </c>
      <c r="D117" s="40" t="s">
        <v>440</v>
      </c>
      <c r="E117" s="53" t="s">
        <v>441</v>
      </c>
      <c r="F117" s="42" t="s">
        <v>442</v>
      </c>
      <c r="G117" s="43">
        <v>3</v>
      </c>
      <c r="H117" s="47">
        <v>2000</v>
      </c>
      <c r="I117" s="47" t="s">
        <v>90</v>
      </c>
      <c r="J117" s="46">
        <v>6000</v>
      </c>
      <c r="K117" s="32">
        <v>380</v>
      </c>
      <c r="L117" s="238">
        <v>1000</v>
      </c>
      <c r="M117" s="265">
        <v>2244.66</v>
      </c>
      <c r="N117" s="32">
        <f t="shared" si="2"/>
        <v>1380</v>
      </c>
      <c r="O117" s="32">
        <f t="shared" si="3"/>
        <v>4620</v>
      </c>
      <c r="P117" s="1" t="s">
        <v>866</v>
      </c>
      <c r="R117" t="s">
        <v>440</v>
      </c>
      <c r="S117" t="s">
        <v>441</v>
      </c>
      <c r="T117" t="s">
        <v>442</v>
      </c>
      <c r="U117" s="32">
        <v>2244.66</v>
      </c>
    </row>
    <row r="118" spans="1:21" ht="13.5">
      <c r="A118" s="1" t="s">
        <v>503</v>
      </c>
      <c r="B118" s="33" t="s">
        <v>26</v>
      </c>
      <c r="C118" s="33" t="s">
        <v>856</v>
      </c>
      <c r="D118" s="40" t="s">
        <v>443</v>
      </c>
      <c r="E118" s="53" t="s">
        <v>444</v>
      </c>
      <c r="F118" s="42" t="s">
        <v>445</v>
      </c>
      <c r="G118" s="48">
        <v>3</v>
      </c>
      <c r="H118" s="49">
        <v>200</v>
      </c>
      <c r="I118" s="49" t="s">
        <v>90</v>
      </c>
      <c r="J118" s="46">
        <v>600</v>
      </c>
      <c r="K118" s="32">
        <v>0</v>
      </c>
      <c r="L118" s="238">
        <v>0</v>
      </c>
      <c r="M118" s="265">
        <v>0</v>
      </c>
      <c r="N118" s="32">
        <f t="shared" si="2"/>
        <v>0</v>
      </c>
      <c r="O118" s="32">
        <f t="shared" si="3"/>
        <v>600</v>
      </c>
      <c r="P118" s="1" t="s">
        <v>866</v>
      </c>
      <c r="R118" t="s">
        <v>443</v>
      </c>
      <c r="S118" t="s">
        <v>444</v>
      </c>
      <c r="T118" t="s">
        <v>445</v>
      </c>
      <c r="U118" s="32">
        <v>0</v>
      </c>
    </row>
    <row r="119" spans="1:21" ht="13.5">
      <c r="A119" s="1" t="s">
        <v>503</v>
      </c>
      <c r="B119" s="33" t="s">
        <v>26</v>
      </c>
      <c r="C119" s="33" t="s">
        <v>856</v>
      </c>
      <c r="D119" s="40" t="s">
        <v>446</v>
      </c>
      <c r="E119" s="53" t="s">
        <v>447</v>
      </c>
      <c r="F119" s="42" t="s">
        <v>448</v>
      </c>
      <c r="G119" s="48">
        <v>3</v>
      </c>
      <c r="H119" s="49">
        <v>100</v>
      </c>
      <c r="I119" s="49" t="s">
        <v>97</v>
      </c>
      <c r="J119" s="46">
        <v>300</v>
      </c>
      <c r="K119" s="32">
        <v>0</v>
      </c>
      <c r="L119" s="238">
        <v>0</v>
      </c>
      <c r="M119" s="265">
        <v>0</v>
      </c>
      <c r="N119" s="32">
        <f t="shared" si="2"/>
        <v>0</v>
      </c>
      <c r="O119" s="32">
        <f t="shared" si="3"/>
        <v>300</v>
      </c>
      <c r="P119" s="1" t="s">
        <v>866</v>
      </c>
      <c r="R119" t="s">
        <v>446</v>
      </c>
      <c r="S119" t="s">
        <v>447</v>
      </c>
      <c r="T119" t="s">
        <v>448</v>
      </c>
      <c r="U119" s="32">
        <v>0</v>
      </c>
    </row>
    <row r="120" spans="1:21" ht="13.5">
      <c r="A120" s="1" t="s">
        <v>503</v>
      </c>
      <c r="B120" s="33" t="s">
        <v>26</v>
      </c>
      <c r="C120" s="33" t="s">
        <v>856</v>
      </c>
      <c r="D120" s="40" t="s">
        <v>449</v>
      </c>
      <c r="E120" s="53" t="s">
        <v>450</v>
      </c>
      <c r="F120" s="42" t="s">
        <v>451</v>
      </c>
      <c r="G120" s="43">
        <v>4</v>
      </c>
      <c r="H120" s="47">
        <v>400</v>
      </c>
      <c r="I120" s="47" t="s">
        <v>90</v>
      </c>
      <c r="J120" s="46">
        <v>1600</v>
      </c>
      <c r="K120" s="32">
        <v>0</v>
      </c>
      <c r="L120" s="238">
        <v>1600</v>
      </c>
      <c r="M120" s="265">
        <v>0</v>
      </c>
      <c r="N120" s="32">
        <f t="shared" si="2"/>
        <v>1600</v>
      </c>
      <c r="O120" s="246">
        <f t="shared" si="3"/>
        <v>0</v>
      </c>
      <c r="P120" s="1" t="s">
        <v>866</v>
      </c>
      <c r="R120" t="s">
        <v>449</v>
      </c>
      <c r="S120" t="s">
        <v>450</v>
      </c>
      <c r="T120" t="s">
        <v>451</v>
      </c>
      <c r="U120" s="32">
        <v>0</v>
      </c>
    </row>
    <row r="121" spans="1:21" ht="13.5">
      <c r="A121" s="1" t="s">
        <v>503</v>
      </c>
      <c r="B121" s="33" t="s">
        <v>33</v>
      </c>
      <c r="C121" s="33" t="s">
        <v>856</v>
      </c>
      <c r="D121" s="40" t="s">
        <v>452</v>
      </c>
      <c r="E121" s="53" t="s">
        <v>453</v>
      </c>
      <c r="F121" s="42" t="s">
        <v>454</v>
      </c>
      <c r="G121" s="43">
        <v>2</v>
      </c>
      <c r="H121" s="47">
        <v>1200</v>
      </c>
      <c r="I121" s="47" t="s">
        <v>179</v>
      </c>
      <c r="J121" s="46">
        <v>2400</v>
      </c>
      <c r="K121" s="32">
        <v>0</v>
      </c>
      <c r="L121" s="238">
        <v>2000</v>
      </c>
      <c r="M121" s="265">
        <v>0</v>
      </c>
      <c r="N121" s="32">
        <f t="shared" si="2"/>
        <v>2000</v>
      </c>
      <c r="O121" s="32">
        <f t="shared" si="3"/>
        <v>400</v>
      </c>
      <c r="P121" s="1" t="s">
        <v>866</v>
      </c>
      <c r="R121" t="s">
        <v>452</v>
      </c>
      <c r="S121" t="s">
        <v>453</v>
      </c>
      <c r="T121" t="s">
        <v>454</v>
      </c>
      <c r="U121" s="32">
        <v>0</v>
      </c>
    </row>
    <row r="122" spans="1:21" ht="13.5">
      <c r="A122" s="1" t="s">
        <v>503</v>
      </c>
      <c r="B122" s="33" t="s">
        <v>26</v>
      </c>
      <c r="C122" s="33" t="s">
        <v>856</v>
      </c>
      <c r="D122" s="40" t="s">
        <v>455</v>
      </c>
      <c r="E122" s="53" t="s">
        <v>456</v>
      </c>
      <c r="F122" s="42" t="s">
        <v>182</v>
      </c>
      <c r="G122" s="43">
        <v>20</v>
      </c>
      <c r="H122" s="47">
        <v>50</v>
      </c>
      <c r="I122" s="47" t="s">
        <v>384</v>
      </c>
      <c r="J122" s="46">
        <v>1000</v>
      </c>
      <c r="K122" s="32">
        <v>0</v>
      </c>
      <c r="L122" s="238">
        <v>1000</v>
      </c>
      <c r="M122" s="265">
        <v>0</v>
      </c>
      <c r="N122" s="32">
        <f t="shared" si="2"/>
        <v>1000</v>
      </c>
      <c r="O122" s="32">
        <f t="shared" si="3"/>
        <v>0</v>
      </c>
      <c r="P122" s="1" t="s">
        <v>866</v>
      </c>
      <c r="R122" t="s">
        <v>455</v>
      </c>
      <c r="S122" t="s">
        <v>456</v>
      </c>
      <c r="T122" t="s">
        <v>182</v>
      </c>
      <c r="U122" s="32">
        <v>0</v>
      </c>
    </row>
    <row r="123" spans="1:21" ht="33">
      <c r="A123" s="1" t="s">
        <v>503</v>
      </c>
      <c r="B123" s="191" t="s">
        <v>34</v>
      </c>
      <c r="C123" s="33" t="s">
        <v>856</v>
      </c>
      <c r="D123" s="40" t="s">
        <v>457</v>
      </c>
      <c r="E123" s="53" t="s">
        <v>458</v>
      </c>
      <c r="F123" s="42" t="s">
        <v>459</v>
      </c>
      <c r="G123" s="43">
        <v>1</v>
      </c>
      <c r="H123" s="47">
        <v>600</v>
      </c>
      <c r="I123" s="47" t="s">
        <v>90</v>
      </c>
      <c r="J123" s="46">
        <v>600</v>
      </c>
      <c r="K123" s="32">
        <v>0</v>
      </c>
      <c r="L123" s="238">
        <v>0</v>
      </c>
      <c r="M123" s="265">
        <v>0</v>
      </c>
      <c r="N123" s="32">
        <f t="shared" si="2"/>
        <v>0</v>
      </c>
      <c r="O123" s="32">
        <f t="shared" si="3"/>
        <v>600</v>
      </c>
      <c r="P123" s="1" t="s">
        <v>866</v>
      </c>
      <c r="R123" t="s">
        <v>457</v>
      </c>
      <c r="S123" t="s">
        <v>458</v>
      </c>
      <c r="T123" t="s">
        <v>459</v>
      </c>
      <c r="U123" s="32">
        <v>0</v>
      </c>
    </row>
    <row r="124" spans="1:21" ht="13.5">
      <c r="A124" s="1" t="s">
        <v>503</v>
      </c>
      <c r="B124" s="33" t="s">
        <v>28</v>
      </c>
      <c r="C124" s="33" t="s">
        <v>856</v>
      </c>
      <c r="D124" s="40" t="s">
        <v>460</v>
      </c>
      <c r="E124" s="53" t="s">
        <v>461</v>
      </c>
      <c r="F124" s="42" t="s">
        <v>462</v>
      </c>
      <c r="G124" s="43">
        <v>12</v>
      </c>
      <c r="H124" s="47">
        <v>360</v>
      </c>
      <c r="I124" s="47" t="s">
        <v>463</v>
      </c>
      <c r="J124" s="46">
        <v>4320</v>
      </c>
      <c r="K124" s="32">
        <v>0</v>
      </c>
      <c r="L124" s="238">
        <v>0</v>
      </c>
      <c r="M124" s="265">
        <v>0</v>
      </c>
      <c r="N124" s="32">
        <f t="shared" si="2"/>
        <v>0</v>
      </c>
      <c r="O124" s="32">
        <f t="shared" si="3"/>
        <v>4320</v>
      </c>
      <c r="P124" s="1" t="s">
        <v>866</v>
      </c>
      <c r="R124" t="s">
        <v>460</v>
      </c>
      <c r="S124" t="s">
        <v>461</v>
      </c>
      <c r="T124" t="s">
        <v>462</v>
      </c>
      <c r="U124" s="32">
        <v>0</v>
      </c>
    </row>
    <row r="125" spans="1:21" ht="13.5">
      <c r="A125" s="1" t="s">
        <v>503</v>
      </c>
      <c r="B125" s="33" t="s">
        <v>28</v>
      </c>
      <c r="C125" s="33" t="s">
        <v>856</v>
      </c>
      <c r="D125" s="40" t="s">
        <v>464</v>
      </c>
      <c r="E125" s="53" t="s">
        <v>465</v>
      </c>
      <c r="F125" s="42" t="s">
        <v>466</v>
      </c>
      <c r="G125" s="43">
        <v>12</v>
      </c>
      <c r="H125" s="47">
        <v>300</v>
      </c>
      <c r="I125" s="47" t="s">
        <v>90</v>
      </c>
      <c r="J125" s="46">
        <v>3600</v>
      </c>
      <c r="K125" s="32">
        <v>0</v>
      </c>
      <c r="L125" s="238">
        <v>0</v>
      </c>
      <c r="M125" s="265">
        <v>3245.48</v>
      </c>
      <c r="N125" s="32">
        <f t="shared" si="2"/>
        <v>0</v>
      </c>
      <c r="O125" s="32">
        <f t="shared" si="3"/>
        <v>3600</v>
      </c>
      <c r="P125" s="1" t="s">
        <v>866</v>
      </c>
      <c r="R125" t="s">
        <v>464</v>
      </c>
      <c r="S125" t="s">
        <v>465</v>
      </c>
      <c r="T125" t="s">
        <v>466</v>
      </c>
      <c r="U125" s="32">
        <v>3245.48</v>
      </c>
    </row>
    <row r="126" spans="1:21" ht="13.5">
      <c r="A126" s="1" t="s">
        <v>503</v>
      </c>
      <c r="B126" s="33" t="s">
        <v>29</v>
      </c>
      <c r="C126" s="33" t="s">
        <v>856</v>
      </c>
      <c r="D126" s="40" t="s">
        <v>467</v>
      </c>
      <c r="E126" s="53" t="s">
        <v>468</v>
      </c>
      <c r="F126" s="42" t="s">
        <v>469</v>
      </c>
      <c r="G126" s="43">
        <v>1</v>
      </c>
      <c r="H126" s="47">
        <v>74000</v>
      </c>
      <c r="I126" s="47" t="s">
        <v>97</v>
      </c>
      <c r="J126" s="46">
        <v>74000</v>
      </c>
      <c r="K126" s="32">
        <v>77087.84</v>
      </c>
      <c r="L126" s="238">
        <v>0</v>
      </c>
      <c r="M126" s="265">
        <v>66214.14</v>
      </c>
      <c r="N126" s="32">
        <f t="shared" si="2"/>
        <v>77087.84</v>
      </c>
      <c r="O126" s="32">
        <f t="shared" si="3"/>
        <v>-3087.8399999999965</v>
      </c>
      <c r="P126" s="1" t="s">
        <v>849</v>
      </c>
      <c r="R126" t="s">
        <v>467</v>
      </c>
      <c r="S126" t="s">
        <v>468</v>
      </c>
      <c r="T126" t="s">
        <v>469</v>
      </c>
      <c r="U126" s="32">
        <v>66214.14</v>
      </c>
    </row>
    <row r="127" spans="1:21" ht="13.5">
      <c r="A127" s="1" t="s">
        <v>503</v>
      </c>
      <c r="B127" s="33" t="s">
        <v>33</v>
      </c>
      <c r="C127" s="33" t="s">
        <v>856</v>
      </c>
      <c r="D127" s="40" t="s">
        <v>470</v>
      </c>
      <c r="E127" s="53" t="s">
        <v>471</v>
      </c>
      <c r="F127" s="42" t="s">
        <v>472</v>
      </c>
      <c r="G127" s="43">
        <v>1</v>
      </c>
      <c r="H127" s="47">
        <v>8000</v>
      </c>
      <c r="I127" s="47" t="s">
        <v>97</v>
      </c>
      <c r="J127" s="46">
        <v>8000</v>
      </c>
      <c r="K127" s="32">
        <v>18796.65</v>
      </c>
      <c r="L127" s="238">
        <v>8000</v>
      </c>
      <c r="M127" s="265">
        <v>27780.98</v>
      </c>
      <c r="N127" s="32">
        <f t="shared" si="2"/>
        <v>26796.65</v>
      </c>
      <c r="O127" s="32">
        <f t="shared" si="3"/>
        <v>-18796.65</v>
      </c>
      <c r="P127" s="1" t="s">
        <v>849</v>
      </c>
      <c r="R127" t="s">
        <v>470</v>
      </c>
      <c r="S127" t="s">
        <v>471</v>
      </c>
      <c r="T127" t="s">
        <v>472</v>
      </c>
      <c r="U127" s="32">
        <v>27780.98</v>
      </c>
    </row>
    <row r="128" spans="1:21" ht="13.5">
      <c r="A128" s="1" t="s">
        <v>503</v>
      </c>
      <c r="B128" s="33" t="s">
        <v>34</v>
      </c>
      <c r="C128" s="33" t="s">
        <v>856</v>
      </c>
      <c r="D128" s="40" t="s">
        <v>94</v>
      </c>
      <c r="E128" s="53" t="s">
        <v>95</v>
      </c>
      <c r="F128" s="42" t="s">
        <v>96</v>
      </c>
      <c r="G128" s="43">
        <v>1</v>
      </c>
      <c r="H128" s="47">
        <v>8000</v>
      </c>
      <c r="I128" s="47" t="s">
        <v>97</v>
      </c>
      <c r="J128" s="46">
        <v>8000</v>
      </c>
      <c r="K128" s="32">
        <v>2512.0099999999998</v>
      </c>
      <c r="L128" s="238">
        <v>2500</v>
      </c>
      <c r="M128" s="265">
        <v>9288.110000000004</v>
      </c>
      <c r="N128" s="32">
        <f t="shared" si="2"/>
        <v>5012.01</v>
      </c>
      <c r="O128" s="32">
        <f t="shared" si="3"/>
        <v>2987.99</v>
      </c>
      <c r="P128" s="1" t="s">
        <v>866</v>
      </c>
      <c r="R128" t="s">
        <v>94</v>
      </c>
      <c r="S128" t="s">
        <v>95</v>
      </c>
      <c r="T128" t="s">
        <v>96</v>
      </c>
      <c r="U128" s="32">
        <v>9288.110000000004</v>
      </c>
    </row>
    <row r="129" spans="1:21" ht="13.5">
      <c r="A129" s="1" t="s">
        <v>503</v>
      </c>
      <c r="B129" s="33" t="s">
        <v>33</v>
      </c>
      <c r="C129" s="33" t="s">
        <v>856</v>
      </c>
      <c r="D129" s="40" t="s">
        <v>473</v>
      </c>
      <c r="E129" s="53" t="s">
        <v>474</v>
      </c>
      <c r="F129" s="42" t="s">
        <v>475</v>
      </c>
      <c r="G129" s="43">
        <v>1</v>
      </c>
      <c r="H129" s="47">
        <v>6000</v>
      </c>
      <c r="I129" s="47" t="s">
        <v>97</v>
      </c>
      <c r="J129" s="46">
        <v>6000</v>
      </c>
      <c r="K129" s="32">
        <v>1191.52</v>
      </c>
      <c r="L129" s="238">
        <v>0</v>
      </c>
      <c r="M129" s="265">
        <v>8203.869999999999</v>
      </c>
      <c r="N129" s="32">
        <f t="shared" si="2"/>
        <v>1191.52</v>
      </c>
      <c r="O129" s="32">
        <f t="shared" si="3"/>
        <v>4808.48</v>
      </c>
      <c r="P129" s="1" t="s">
        <v>866</v>
      </c>
      <c r="R129" t="s">
        <v>473</v>
      </c>
      <c r="S129" t="s">
        <v>474</v>
      </c>
      <c r="T129" t="s">
        <v>475</v>
      </c>
      <c r="U129" s="32">
        <v>8203.869999999999</v>
      </c>
    </row>
    <row r="130" spans="1:21" ht="13.5">
      <c r="A130" s="1" t="s">
        <v>503</v>
      </c>
      <c r="B130" s="33" t="s">
        <v>31</v>
      </c>
      <c r="C130" s="33" t="s">
        <v>856</v>
      </c>
      <c r="D130" s="40" t="s">
        <v>476</v>
      </c>
      <c r="E130" s="53" t="s">
        <v>477</v>
      </c>
      <c r="F130" s="42" t="s">
        <v>478</v>
      </c>
      <c r="G130" s="43">
        <v>1</v>
      </c>
      <c r="H130" s="47">
        <v>1000</v>
      </c>
      <c r="I130" s="47" t="s">
        <v>97</v>
      </c>
      <c r="J130" s="46">
        <v>1000</v>
      </c>
      <c r="K130" s="32">
        <v>0</v>
      </c>
      <c r="L130" s="238">
        <v>0</v>
      </c>
      <c r="M130" s="265">
        <v>0</v>
      </c>
      <c r="N130" s="32">
        <f t="shared" si="2"/>
        <v>0</v>
      </c>
      <c r="O130" s="246">
        <f t="shared" si="3"/>
        <v>1000</v>
      </c>
      <c r="P130" s="1" t="s">
        <v>866</v>
      </c>
      <c r="R130" t="s">
        <v>476</v>
      </c>
      <c r="S130" t="s">
        <v>477</v>
      </c>
      <c r="T130" t="s">
        <v>478</v>
      </c>
      <c r="U130" s="32">
        <v>0</v>
      </c>
    </row>
    <row r="131" spans="1:21" ht="33">
      <c r="A131" s="1" t="s">
        <v>503</v>
      </c>
      <c r="B131" s="191" t="s">
        <v>34</v>
      </c>
      <c r="C131" s="33" t="s">
        <v>856</v>
      </c>
      <c r="D131" s="40" t="s">
        <v>479</v>
      </c>
      <c r="E131" s="53" t="s">
        <v>480</v>
      </c>
      <c r="F131" s="42" t="s">
        <v>481</v>
      </c>
      <c r="G131" s="43">
        <v>3</v>
      </c>
      <c r="H131" s="47">
        <v>400</v>
      </c>
      <c r="I131" s="47" t="s">
        <v>90</v>
      </c>
      <c r="J131" s="46">
        <v>1200</v>
      </c>
      <c r="K131" s="32">
        <v>544</v>
      </c>
      <c r="L131" s="238">
        <v>200</v>
      </c>
      <c r="M131" s="265">
        <v>626.98</v>
      </c>
      <c r="N131" s="32">
        <f aca="true" t="shared" si="4" ref="N131:N140">K131+L131</f>
        <v>744</v>
      </c>
      <c r="O131" s="32">
        <f aca="true" t="shared" si="5" ref="O131:O140">J131-N131</f>
        <v>456</v>
      </c>
      <c r="P131" s="1" t="s">
        <v>866</v>
      </c>
      <c r="R131" t="s">
        <v>479</v>
      </c>
      <c r="S131" t="s">
        <v>480</v>
      </c>
      <c r="T131" t="s">
        <v>481</v>
      </c>
      <c r="U131" s="32">
        <v>626.98</v>
      </c>
    </row>
    <row r="132" spans="1:21" ht="13.5">
      <c r="A132" s="1" t="s">
        <v>503</v>
      </c>
      <c r="B132" s="33" t="s">
        <v>31</v>
      </c>
      <c r="C132" s="33" t="s">
        <v>856</v>
      </c>
      <c r="D132" s="40" t="s">
        <v>482</v>
      </c>
      <c r="E132" s="53" t="s">
        <v>483</v>
      </c>
      <c r="F132" s="42" t="s">
        <v>484</v>
      </c>
      <c r="G132" s="43">
        <v>4</v>
      </c>
      <c r="H132" s="47">
        <v>750</v>
      </c>
      <c r="I132" s="47" t="s">
        <v>97</v>
      </c>
      <c r="J132" s="240">
        <v>3000</v>
      </c>
      <c r="K132" s="32">
        <v>3128.76</v>
      </c>
      <c r="L132" s="238">
        <v>0</v>
      </c>
      <c r="M132" s="265">
        <v>3128.76</v>
      </c>
      <c r="N132" s="32">
        <f t="shared" si="4"/>
        <v>3128.76</v>
      </c>
      <c r="O132" s="32">
        <f t="shared" si="5"/>
        <v>-128.76000000000022</v>
      </c>
      <c r="P132" s="1" t="s">
        <v>849</v>
      </c>
      <c r="R132" t="s">
        <v>482</v>
      </c>
      <c r="S132" t="s">
        <v>483</v>
      </c>
      <c r="T132" t="s">
        <v>484</v>
      </c>
      <c r="U132" s="32">
        <v>3128.76</v>
      </c>
    </row>
    <row r="133" spans="1:21" ht="13.5">
      <c r="A133" s="1" t="s">
        <v>503</v>
      </c>
      <c r="B133" s="33" t="s">
        <v>32</v>
      </c>
      <c r="C133" s="33" t="s">
        <v>856</v>
      </c>
      <c r="D133" s="40" t="s">
        <v>485</v>
      </c>
      <c r="E133" s="53" t="s">
        <v>486</v>
      </c>
      <c r="F133" s="42" t="s">
        <v>487</v>
      </c>
      <c r="G133" s="43">
        <v>1</v>
      </c>
      <c r="H133" s="47">
        <v>5000</v>
      </c>
      <c r="I133" s="47" t="s">
        <v>97</v>
      </c>
      <c r="J133" s="46">
        <v>5000</v>
      </c>
      <c r="K133" s="32">
        <v>0</v>
      </c>
      <c r="L133" s="238">
        <v>0</v>
      </c>
      <c r="M133" s="265">
        <v>737.7</v>
      </c>
      <c r="N133" s="32">
        <f t="shared" si="4"/>
        <v>0</v>
      </c>
      <c r="O133" s="32">
        <f t="shared" si="5"/>
        <v>5000</v>
      </c>
      <c r="P133" s="1" t="s">
        <v>866</v>
      </c>
      <c r="R133" t="s">
        <v>485</v>
      </c>
      <c r="S133" t="s">
        <v>486</v>
      </c>
      <c r="T133" t="s">
        <v>487</v>
      </c>
      <c r="U133" s="32">
        <v>737.7</v>
      </c>
    </row>
    <row r="134" spans="1:21" ht="13.5">
      <c r="A134" s="1" t="s">
        <v>503</v>
      </c>
      <c r="B134" s="33" t="s">
        <v>34</v>
      </c>
      <c r="C134" s="33" t="s">
        <v>856</v>
      </c>
      <c r="D134" s="40" t="s">
        <v>91</v>
      </c>
      <c r="E134" s="53" t="s">
        <v>92</v>
      </c>
      <c r="F134" s="42" t="s">
        <v>93</v>
      </c>
      <c r="G134" s="43">
        <v>3</v>
      </c>
      <c r="H134" s="47">
        <v>400</v>
      </c>
      <c r="I134" s="47" t="s">
        <v>90</v>
      </c>
      <c r="J134" s="46">
        <v>1200</v>
      </c>
      <c r="K134" s="32">
        <v>86.06</v>
      </c>
      <c r="L134" s="238">
        <v>150</v>
      </c>
      <c r="M134" s="265">
        <v>97.49000000000001</v>
      </c>
      <c r="N134" s="32">
        <f t="shared" si="4"/>
        <v>236.06</v>
      </c>
      <c r="O134" s="32">
        <f t="shared" si="5"/>
        <v>963.94</v>
      </c>
      <c r="P134" s="1" t="s">
        <v>866</v>
      </c>
      <c r="R134" t="s">
        <v>91</v>
      </c>
      <c r="S134" t="s">
        <v>92</v>
      </c>
      <c r="T134" t="s">
        <v>93</v>
      </c>
      <c r="U134" s="32">
        <v>97.49000000000001</v>
      </c>
    </row>
    <row r="135" spans="1:21" ht="13.5">
      <c r="A135" s="1" t="s">
        <v>503</v>
      </c>
      <c r="B135" s="33" t="s">
        <v>26</v>
      </c>
      <c r="C135" s="33" t="s">
        <v>856</v>
      </c>
      <c r="D135" s="40" t="s">
        <v>488</v>
      </c>
      <c r="E135" s="53" t="s">
        <v>489</v>
      </c>
      <c r="F135" s="42" t="s">
        <v>387</v>
      </c>
      <c r="G135" s="43">
        <v>4</v>
      </c>
      <c r="H135" s="47">
        <v>50</v>
      </c>
      <c r="I135" s="47" t="s">
        <v>384</v>
      </c>
      <c r="J135" s="46">
        <v>200</v>
      </c>
      <c r="K135" s="32">
        <v>0</v>
      </c>
      <c r="M135" s="265">
        <v>0</v>
      </c>
      <c r="N135" s="32">
        <f t="shared" si="4"/>
        <v>0</v>
      </c>
      <c r="O135" s="32">
        <f t="shared" si="5"/>
        <v>200</v>
      </c>
      <c r="P135" s="1" t="s">
        <v>866</v>
      </c>
      <c r="R135" t="s">
        <v>488</v>
      </c>
      <c r="S135" t="s">
        <v>489</v>
      </c>
      <c r="T135" t="s">
        <v>387</v>
      </c>
      <c r="U135" s="32">
        <v>0</v>
      </c>
    </row>
    <row r="136" spans="1:21" ht="13.5">
      <c r="A136" s="1" t="s">
        <v>503</v>
      </c>
      <c r="B136" s="33" t="s">
        <v>34</v>
      </c>
      <c r="C136" s="33" t="s">
        <v>856</v>
      </c>
      <c r="D136" s="40" t="s">
        <v>87</v>
      </c>
      <c r="E136" s="53" t="s">
        <v>88</v>
      </c>
      <c r="F136" s="42" t="s">
        <v>89</v>
      </c>
      <c r="G136" s="54">
        <v>3</v>
      </c>
      <c r="H136" s="55">
        <v>9000</v>
      </c>
      <c r="I136" s="55" t="s">
        <v>90</v>
      </c>
      <c r="J136" s="46">
        <v>27000</v>
      </c>
      <c r="K136" s="32">
        <v>6400</v>
      </c>
      <c r="L136" s="238">
        <v>7000</v>
      </c>
      <c r="M136" s="265">
        <v>10009.83</v>
      </c>
      <c r="N136" s="32">
        <f t="shared" si="4"/>
        <v>13400</v>
      </c>
      <c r="O136" s="32">
        <f t="shared" si="5"/>
        <v>13600</v>
      </c>
      <c r="P136" s="1" t="s">
        <v>866</v>
      </c>
      <c r="R136" t="s">
        <v>87</v>
      </c>
      <c r="S136" t="s">
        <v>88</v>
      </c>
      <c r="T136" t="s">
        <v>89</v>
      </c>
      <c r="U136" s="32">
        <v>10009.83</v>
      </c>
    </row>
    <row r="137" spans="1:21" ht="33">
      <c r="A137" s="1" t="s">
        <v>503</v>
      </c>
      <c r="B137" s="191" t="s">
        <v>34</v>
      </c>
      <c r="C137" s="33" t="s">
        <v>856</v>
      </c>
      <c r="D137" s="40" t="s">
        <v>490</v>
      </c>
      <c r="E137" s="53" t="s">
        <v>491</v>
      </c>
      <c r="F137" s="42" t="s">
        <v>192</v>
      </c>
      <c r="G137" s="43">
        <v>3</v>
      </c>
      <c r="H137" s="47">
        <v>150</v>
      </c>
      <c r="I137" s="47" t="s">
        <v>90</v>
      </c>
      <c r="J137" s="46">
        <v>450</v>
      </c>
      <c r="K137" s="32">
        <v>0</v>
      </c>
      <c r="L137" s="238">
        <v>0</v>
      </c>
      <c r="M137" s="265">
        <v>0</v>
      </c>
      <c r="N137" s="32">
        <f t="shared" si="4"/>
        <v>0</v>
      </c>
      <c r="O137" s="32">
        <f t="shared" si="5"/>
        <v>450</v>
      </c>
      <c r="P137" s="1" t="s">
        <v>866</v>
      </c>
      <c r="R137" t="s">
        <v>490</v>
      </c>
      <c r="S137" t="s">
        <v>491</v>
      </c>
      <c r="T137" t="s">
        <v>192</v>
      </c>
      <c r="U137" s="32">
        <v>0</v>
      </c>
    </row>
    <row r="138" spans="1:21" ht="33">
      <c r="A138" s="1" t="s">
        <v>503</v>
      </c>
      <c r="B138" s="191" t="s">
        <v>34</v>
      </c>
      <c r="C138" s="33" t="s">
        <v>856</v>
      </c>
      <c r="D138" s="40" t="s">
        <v>492</v>
      </c>
      <c r="E138" s="53" t="s">
        <v>493</v>
      </c>
      <c r="F138" s="42" t="s">
        <v>235</v>
      </c>
      <c r="G138" s="43">
        <v>3</v>
      </c>
      <c r="H138" s="47">
        <v>400</v>
      </c>
      <c r="I138" s="47" t="s">
        <v>90</v>
      </c>
      <c r="J138" s="46">
        <v>1200</v>
      </c>
      <c r="K138" s="32">
        <v>0</v>
      </c>
      <c r="L138" s="238">
        <v>0</v>
      </c>
      <c r="M138" s="265">
        <v>87.08</v>
      </c>
      <c r="N138" s="32">
        <f t="shared" si="4"/>
        <v>0</v>
      </c>
      <c r="O138" s="246">
        <f t="shared" si="5"/>
        <v>1200</v>
      </c>
      <c r="P138" s="1" t="s">
        <v>866</v>
      </c>
      <c r="R138" t="s">
        <v>492</v>
      </c>
      <c r="S138" t="s">
        <v>493</v>
      </c>
      <c r="T138" t="s">
        <v>235</v>
      </c>
      <c r="U138" s="32">
        <v>87.08</v>
      </c>
    </row>
    <row r="139" spans="1:21" ht="13.5">
      <c r="A139" s="1" t="s">
        <v>503</v>
      </c>
      <c r="B139" s="33" t="s">
        <v>28</v>
      </c>
      <c r="C139" s="33" t="s">
        <v>856</v>
      </c>
      <c r="D139" s="40" t="s">
        <v>494</v>
      </c>
      <c r="E139" s="53" t="s">
        <v>495</v>
      </c>
      <c r="F139" s="42" t="s">
        <v>496</v>
      </c>
      <c r="G139" s="43">
        <v>3</v>
      </c>
      <c r="H139" s="47">
        <v>3300</v>
      </c>
      <c r="I139" s="47" t="s">
        <v>97</v>
      </c>
      <c r="J139" s="46">
        <v>9900</v>
      </c>
      <c r="K139" s="32">
        <v>0</v>
      </c>
      <c r="L139" s="238">
        <v>10000</v>
      </c>
      <c r="M139" s="265">
        <v>25158.93</v>
      </c>
      <c r="N139" s="32">
        <f t="shared" si="4"/>
        <v>10000</v>
      </c>
      <c r="O139" s="32">
        <f t="shared" si="5"/>
        <v>-100</v>
      </c>
      <c r="P139" s="1" t="s">
        <v>849</v>
      </c>
      <c r="R139" t="s">
        <v>494</v>
      </c>
      <c r="S139" t="s">
        <v>495</v>
      </c>
      <c r="T139" t="s">
        <v>496</v>
      </c>
      <c r="U139" s="32">
        <v>25158.93</v>
      </c>
    </row>
    <row r="140" spans="1:21" ht="13.5">
      <c r="A140" s="1" t="s">
        <v>503</v>
      </c>
      <c r="B140" s="33" t="s">
        <v>28</v>
      </c>
      <c r="C140" s="33" t="s">
        <v>856</v>
      </c>
      <c r="D140" s="40" t="s">
        <v>497</v>
      </c>
      <c r="E140" s="53" t="s">
        <v>498</v>
      </c>
      <c r="F140" s="42" t="s">
        <v>499</v>
      </c>
      <c r="G140" s="43">
        <v>1</v>
      </c>
      <c r="H140" s="47">
        <v>20000</v>
      </c>
      <c r="I140" s="47" t="s">
        <v>97</v>
      </c>
      <c r="J140" s="46">
        <v>20000</v>
      </c>
      <c r="K140" s="32">
        <v>0</v>
      </c>
      <c r="L140" s="238">
        <v>20000</v>
      </c>
      <c r="M140" s="265">
        <v>5368.16</v>
      </c>
      <c r="N140" s="32">
        <f t="shared" si="4"/>
        <v>20000</v>
      </c>
      <c r="O140" s="32">
        <f t="shared" si="5"/>
        <v>0</v>
      </c>
      <c r="P140" s="1" t="s">
        <v>866</v>
      </c>
      <c r="Q140">
        <f>SUBTOTAL(9,O15:O140)</f>
        <v>107626.20100000002</v>
      </c>
      <c r="R140" t="s">
        <v>497</v>
      </c>
      <c r="S140" t="s">
        <v>498</v>
      </c>
      <c r="T140" t="s">
        <v>499</v>
      </c>
      <c r="U140" s="32">
        <v>5368.16</v>
      </c>
    </row>
    <row r="141" spans="1:21" ht="13.5">
      <c r="A141" s="1" t="s">
        <v>503</v>
      </c>
      <c r="B141" s="191" t="s">
        <v>35</v>
      </c>
      <c r="C141" s="33" t="s">
        <v>59</v>
      </c>
      <c r="D141" s="40" t="s">
        <v>497</v>
      </c>
      <c r="E141" s="52">
        <v>13.1</v>
      </c>
      <c r="F141" s="42" t="s">
        <v>500</v>
      </c>
      <c r="G141" s="50">
        <v>1</v>
      </c>
      <c r="H141" s="44">
        <v>0.07</v>
      </c>
      <c r="I141" s="45" t="s">
        <v>501</v>
      </c>
      <c r="J141" s="56">
        <v>45423.63014</v>
      </c>
      <c r="K141" s="32">
        <f>SUM(K2:K140)*7%</f>
        <v>26472.352199999998</v>
      </c>
      <c r="L141" s="32">
        <f>SUM(L2:L140)*7%</f>
        <v>8424.01</v>
      </c>
      <c r="M141" s="265">
        <v>34983.148199999996</v>
      </c>
      <c r="N141" s="32">
        <f>SUM(N2:N140)*7%</f>
        <v>34896.36219999999</v>
      </c>
      <c r="O141" s="32">
        <v>10179.45</v>
      </c>
      <c r="P141" s="1" t="s">
        <v>866</v>
      </c>
      <c r="Q141">
        <f>Q140*7%</f>
        <v>7533.834070000002</v>
      </c>
      <c r="S141">
        <v>12.1</v>
      </c>
      <c r="T141" t="s">
        <v>500</v>
      </c>
      <c r="U141" s="32">
        <v>34983.148199999996</v>
      </c>
    </row>
    <row r="142" spans="9:21" ht="13.5">
      <c r="I142" s="59"/>
      <c r="J142" s="60"/>
      <c r="K142" s="32">
        <f>SUM(K2:K141)</f>
        <v>404648.8121999999</v>
      </c>
      <c r="L142" s="32">
        <f>SUM(L2:L141)</f>
        <v>128767.01</v>
      </c>
      <c r="M142" s="264">
        <f>SUM(M2:M141)</f>
        <v>534742.4082</v>
      </c>
      <c r="N142" s="32">
        <f>SUM(N2:N141)</f>
        <v>533415.8221999998</v>
      </c>
      <c r="O142" s="32">
        <f>SUM(O2:O141)</f>
        <v>160568.9920000001</v>
      </c>
      <c r="U142" s="32">
        <v>534742.4082</v>
      </c>
    </row>
    <row r="143" spans="9:12" ht="13.5">
      <c r="I143" s="61"/>
      <c r="K143" s="32">
        <f>K142-K141</f>
        <v>378176.4599999999</v>
      </c>
      <c r="L143" s="32">
        <f>L142-L141</f>
        <v>120343</v>
      </c>
    </row>
    <row r="144" ht="13.5">
      <c r="I144" s="61"/>
    </row>
    <row r="145" ht="13.5">
      <c r="I145" s="61"/>
    </row>
    <row r="146" ht="13.5">
      <c r="I146" s="61"/>
    </row>
    <row r="147" ht="13.5">
      <c r="I147" s="61"/>
    </row>
    <row r="148" ht="13.5">
      <c r="I148" s="61"/>
    </row>
    <row r="149" ht="13.5">
      <c r="I149" s="61"/>
    </row>
    <row r="150" ht="13.5">
      <c r="I150" s="61"/>
    </row>
    <row r="151" ht="13.5">
      <c r="I151" s="61"/>
    </row>
    <row r="152" ht="13.5">
      <c r="I152" s="61"/>
    </row>
    <row r="153" ht="13.5">
      <c r="I153" s="61"/>
    </row>
    <row r="154" ht="13.5">
      <c r="I154" s="61"/>
    </row>
    <row r="155" ht="13.5">
      <c r="I155" s="61"/>
    </row>
    <row r="156" ht="13.5">
      <c r="I156" s="61"/>
    </row>
    <row r="157" ht="13.5">
      <c r="I157" s="61"/>
    </row>
    <row r="158" ht="13.5">
      <c r="I158" s="61"/>
    </row>
    <row r="159" ht="13.5">
      <c r="I159" s="61"/>
    </row>
    <row r="160" ht="13.5">
      <c r="I160" s="61"/>
    </row>
    <row r="161" ht="13.5">
      <c r="I161" s="61"/>
    </row>
    <row r="162" ht="13.5">
      <c r="I162" s="61"/>
    </row>
    <row r="163" ht="13.5">
      <c r="I163" s="61"/>
    </row>
    <row r="164" ht="13.5">
      <c r="I164" s="61"/>
    </row>
    <row r="165" ht="13.5">
      <c r="I165" s="61"/>
    </row>
    <row r="166" ht="13.5">
      <c r="I166" s="61"/>
    </row>
    <row r="167" ht="13.5">
      <c r="I167" s="61"/>
    </row>
    <row r="168" ht="13.5">
      <c r="I168" s="61"/>
    </row>
    <row r="169" ht="13.5">
      <c r="I169" s="61"/>
    </row>
    <row r="170" ht="13.5">
      <c r="I170" s="61"/>
    </row>
    <row r="171" ht="13.5">
      <c r="I171" s="61"/>
    </row>
    <row r="172" ht="13.5">
      <c r="I172" s="61"/>
    </row>
    <row r="173" ht="13.5">
      <c r="I173" s="61"/>
    </row>
    <row r="174" ht="13.5">
      <c r="I174" s="61"/>
    </row>
    <row r="175" ht="13.5">
      <c r="I175" s="61"/>
    </row>
    <row r="176" ht="13.5">
      <c r="I176" s="61"/>
    </row>
    <row r="177" ht="13.5">
      <c r="I177" s="61"/>
    </row>
    <row r="178" ht="13.5">
      <c r="I178" s="61"/>
    </row>
    <row r="179" ht="13.5">
      <c r="I179" s="61"/>
    </row>
    <row r="180" ht="13.5">
      <c r="I180" s="61"/>
    </row>
    <row r="181" ht="13.5">
      <c r="I181" s="61"/>
    </row>
    <row r="182" ht="13.5">
      <c r="I182" s="61"/>
    </row>
    <row r="183" ht="13.5">
      <c r="I183" s="61"/>
    </row>
    <row r="184" ht="13.5">
      <c r="I184" s="61"/>
    </row>
    <row r="185" ht="13.5">
      <c r="I185" s="61"/>
    </row>
    <row r="186" ht="13.5">
      <c r="I186" s="61"/>
    </row>
    <row r="187" ht="13.5">
      <c r="I187" s="61"/>
    </row>
    <row r="188" ht="13.5">
      <c r="I188" s="61"/>
    </row>
    <row r="189" ht="13.5">
      <c r="I189" s="61"/>
    </row>
    <row r="190" ht="13.5">
      <c r="I190" s="61"/>
    </row>
    <row r="191" ht="13.5">
      <c r="I191" s="61"/>
    </row>
    <row r="192" ht="13.5">
      <c r="I192" s="61"/>
    </row>
    <row r="193" ht="13.5">
      <c r="I193" s="61"/>
    </row>
    <row r="194" ht="13.5">
      <c r="I194" s="61"/>
    </row>
    <row r="195" ht="13.5">
      <c r="I195" s="61"/>
    </row>
    <row r="196" ht="13.5">
      <c r="I196" s="61"/>
    </row>
    <row r="197" ht="13.5">
      <c r="I197" s="61"/>
    </row>
    <row r="198" ht="13.5">
      <c r="I198" s="61"/>
    </row>
    <row r="199" ht="13.5">
      <c r="I199" s="61"/>
    </row>
    <row r="200" ht="13.5">
      <c r="I200" s="61"/>
    </row>
    <row r="201" ht="13.5">
      <c r="I201" s="61"/>
    </row>
    <row r="202" ht="13.5">
      <c r="I202" s="61"/>
    </row>
    <row r="203" ht="13.5">
      <c r="I203" s="61"/>
    </row>
    <row r="204" ht="13.5">
      <c r="I204" s="61"/>
    </row>
    <row r="205" ht="13.5">
      <c r="I205" s="61"/>
    </row>
    <row r="206" ht="13.5">
      <c r="I206" s="61"/>
    </row>
    <row r="207" ht="13.5">
      <c r="I207" s="61"/>
    </row>
    <row r="208" ht="13.5">
      <c r="I208" s="61"/>
    </row>
    <row r="209" ht="13.5">
      <c r="I209" s="61"/>
    </row>
    <row r="210" ht="13.5">
      <c r="I210" s="61"/>
    </row>
    <row r="211" ht="13.5">
      <c r="I211" s="61"/>
    </row>
    <row r="212" ht="13.5">
      <c r="I212" s="61"/>
    </row>
    <row r="213" ht="13.5">
      <c r="I213" s="61"/>
    </row>
    <row r="214" ht="13.5">
      <c r="I214" s="61"/>
    </row>
    <row r="215" ht="13.5">
      <c r="I215" s="61"/>
    </row>
    <row r="216" ht="13.5">
      <c r="I216" s="61"/>
    </row>
    <row r="217" ht="13.5">
      <c r="I217" s="61"/>
    </row>
    <row r="218" ht="13.5">
      <c r="I218" s="61"/>
    </row>
    <row r="219" ht="13.5">
      <c r="I219" s="61"/>
    </row>
    <row r="220" ht="13.5">
      <c r="I220" s="61"/>
    </row>
    <row r="221" ht="13.5">
      <c r="I221" s="61"/>
    </row>
    <row r="222" ht="13.5">
      <c r="I222" s="61"/>
    </row>
    <row r="223" ht="13.5">
      <c r="I223" s="61"/>
    </row>
    <row r="224" ht="13.5">
      <c r="I224" s="61"/>
    </row>
    <row r="225" ht="13.5">
      <c r="I225" s="61"/>
    </row>
    <row r="226" ht="13.5">
      <c r="I226" s="61"/>
    </row>
    <row r="227" ht="13.5">
      <c r="I227" s="61"/>
    </row>
    <row r="228" ht="13.5">
      <c r="I228" s="61"/>
    </row>
    <row r="229" ht="13.5">
      <c r="I229" s="61"/>
    </row>
    <row r="230" ht="13.5">
      <c r="I230" s="61"/>
    </row>
    <row r="231" ht="13.5">
      <c r="I231" s="61"/>
    </row>
    <row r="232" ht="13.5">
      <c r="I232" s="61"/>
    </row>
    <row r="233" ht="13.5">
      <c r="I233" s="61"/>
    </row>
    <row r="234" ht="13.5">
      <c r="I234" s="61"/>
    </row>
    <row r="235" ht="13.5">
      <c r="I235" s="61"/>
    </row>
    <row r="236" ht="13.5">
      <c r="I236" s="61"/>
    </row>
    <row r="237" ht="13.5">
      <c r="I237" s="61"/>
    </row>
    <row r="238" ht="13.5">
      <c r="I238" s="61"/>
    </row>
    <row r="239" ht="13.5">
      <c r="I239" s="61"/>
    </row>
    <row r="240" ht="13.5">
      <c r="I240" s="61"/>
    </row>
    <row r="241" ht="13.5">
      <c r="I241" s="61"/>
    </row>
    <row r="242" ht="13.5">
      <c r="I242" s="61"/>
    </row>
    <row r="243" ht="13.5">
      <c r="I243" s="61"/>
    </row>
    <row r="244" ht="13.5">
      <c r="I244" s="61"/>
    </row>
    <row r="245" ht="13.5">
      <c r="I245" s="61"/>
    </row>
    <row r="246" ht="13.5">
      <c r="I246" s="61"/>
    </row>
    <row r="247" ht="13.5">
      <c r="I247" s="61"/>
    </row>
    <row r="248" ht="13.5">
      <c r="I248" s="61"/>
    </row>
    <row r="249" ht="13.5">
      <c r="I249" s="61"/>
    </row>
    <row r="250" ht="13.5">
      <c r="I250" s="61"/>
    </row>
    <row r="251" ht="13.5">
      <c r="I251" s="61"/>
    </row>
    <row r="252" ht="13.5">
      <c r="I252" s="61"/>
    </row>
    <row r="253" ht="13.5">
      <c r="I253" s="61"/>
    </row>
    <row r="254" ht="13.5">
      <c r="I254" s="61"/>
    </row>
    <row r="255" ht="13.5">
      <c r="I255" s="61"/>
    </row>
    <row r="256" ht="13.5">
      <c r="I256" s="61"/>
    </row>
    <row r="257" ht="13.5">
      <c r="I257" s="61"/>
    </row>
    <row r="258" ht="13.5">
      <c r="I258" s="61"/>
    </row>
    <row r="259" ht="13.5">
      <c r="I259" s="61"/>
    </row>
    <row r="260" ht="13.5">
      <c r="I260" s="61"/>
    </row>
    <row r="261" ht="13.5">
      <c r="I261" s="61"/>
    </row>
    <row r="262" ht="13.5">
      <c r="I262" s="61"/>
    </row>
    <row r="263" ht="13.5">
      <c r="I263" s="61"/>
    </row>
    <row r="264" ht="13.5">
      <c r="I264" s="61"/>
    </row>
    <row r="265" ht="13.5">
      <c r="I265" s="61"/>
    </row>
    <row r="266" ht="13.5">
      <c r="I266" s="61"/>
    </row>
    <row r="267" ht="13.5">
      <c r="I267" s="61"/>
    </row>
    <row r="268" ht="13.5">
      <c r="I268" s="61"/>
    </row>
    <row r="269" ht="13.5">
      <c r="I269" s="61"/>
    </row>
    <row r="270" ht="13.5">
      <c r="I270" s="61"/>
    </row>
    <row r="271" ht="13.5">
      <c r="I271" s="61"/>
    </row>
    <row r="272" ht="13.5">
      <c r="I272" s="61"/>
    </row>
    <row r="273" ht="13.5">
      <c r="I273" s="61"/>
    </row>
    <row r="274" ht="13.5">
      <c r="I274" s="61"/>
    </row>
    <row r="275" ht="13.5">
      <c r="I275" s="61"/>
    </row>
    <row r="276" ht="13.5">
      <c r="I276" s="61"/>
    </row>
    <row r="277" ht="13.5">
      <c r="I277" s="61"/>
    </row>
    <row r="278" ht="13.5">
      <c r="I278" s="61"/>
    </row>
    <row r="279" ht="13.5">
      <c r="I279" s="61"/>
    </row>
    <row r="280" ht="13.5">
      <c r="I280" s="61"/>
    </row>
    <row r="281" ht="13.5">
      <c r="I281" s="61"/>
    </row>
    <row r="282" ht="13.5">
      <c r="I282" s="61"/>
    </row>
    <row r="283" ht="13.5">
      <c r="I283" s="61"/>
    </row>
    <row r="284" ht="13.5">
      <c r="I284" s="61"/>
    </row>
    <row r="285" ht="13.5">
      <c r="I285" s="61"/>
    </row>
    <row r="286" ht="13.5">
      <c r="I286" s="61"/>
    </row>
    <row r="287" ht="13.5">
      <c r="I287" s="61"/>
    </row>
    <row r="288" ht="13.5">
      <c r="I288" s="61"/>
    </row>
    <row r="289" ht="13.5">
      <c r="I289" s="61"/>
    </row>
    <row r="290" ht="13.5">
      <c r="I290" s="61"/>
    </row>
    <row r="291" ht="13.5">
      <c r="I291" s="61"/>
    </row>
    <row r="292" ht="13.5">
      <c r="I292" s="61"/>
    </row>
    <row r="293" ht="13.5">
      <c r="I293" s="61"/>
    </row>
    <row r="294" ht="13.5">
      <c r="I294" s="61"/>
    </row>
    <row r="295" ht="13.5">
      <c r="I295" s="61"/>
    </row>
    <row r="296" ht="13.5">
      <c r="I296" s="61"/>
    </row>
    <row r="297" ht="13.5">
      <c r="I297" s="61"/>
    </row>
    <row r="298" ht="13.5">
      <c r="I298" s="61"/>
    </row>
    <row r="299" ht="13.5">
      <c r="I299" s="61"/>
    </row>
    <row r="300" ht="13.5">
      <c r="I300" s="61"/>
    </row>
    <row r="301" ht="13.5">
      <c r="I301" s="61"/>
    </row>
    <row r="302" ht="13.5">
      <c r="I302" s="61"/>
    </row>
    <row r="303" ht="13.5">
      <c r="I303" s="61"/>
    </row>
    <row r="304" ht="13.5">
      <c r="I304" s="61"/>
    </row>
    <row r="305" ht="13.5">
      <c r="I305" s="61"/>
    </row>
    <row r="306" ht="13.5">
      <c r="I306" s="61"/>
    </row>
    <row r="307" ht="13.5">
      <c r="I307" s="61"/>
    </row>
    <row r="308" ht="13.5">
      <c r="I308" s="61"/>
    </row>
    <row r="309" ht="13.5">
      <c r="I309" s="61"/>
    </row>
    <row r="310" ht="13.5">
      <c r="I310" s="61"/>
    </row>
    <row r="311" ht="13.5">
      <c r="I311" s="61"/>
    </row>
    <row r="312" ht="13.5">
      <c r="I312" s="61"/>
    </row>
    <row r="313" ht="13.5">
      <c r="I313" s="61"/>
    </row>
    <row r="314" ht="13.5">
      <c r="I314" s="61"/>
    </row>
    <row r="315" ht="13.5">
      <c r="I315" s="61"/>
    </row>
    <row r="316" ht="13.5">
      <c r="I316" s="61"/>
    </row>
    <row r="317" ht="13.5">
      <c r="I317" s="61"/>
    </row>
    <row r="318" ht="13.5">
      <c r="I318" s="61"/>
    </row>
    <row r="319" ht="13.5">
      <c r="I319" s="61"/>
    </row>
    <row r="320" ht="13.5">
      <c r="I320" s="61"/>
    </row>
    <row r="321" ht="13.5">
      <c r="I321" s="61"/>
    </row>
    <row r="322" ht="13.5">
      <c r="I322" s="61"/>
    </row>
    <row r="323" ht="13.5">
      <c r="I323" s="61"/>
    </row>
    <row r="324" ht="13.5">
      <c r="I324" s="61"/>
    </row>
    <row r="325" ht="13.5">
      <c r="I325" s="61"/>
    </row>
    <row r="326" ht="13.5">
      <c r="I326" s="61"/>
    </row>
    <row r="327" ht="13.5">
      <c r="I327" s="61"/>
    </row>
    <row r="328" ht="13.5">
      <c r="I328" s="61"/>
    </row>
    <row r="329" ht="13.5">
      <c r="I329" s="61"/>
    </row>
    <row r="330" ht="13.5">
      <c r="I330" s="61"/>
    </row>
    <row r="331" ht="13.5">
      <c r="I331" s="61"/>
    </row>
    <row r="332" ht="13.5">
      <c r="I332" s="61"/>
    </row>
    <row r="333" ht="13.5">
      <c r="I333" s="61"/>
    </row>
    <row r="334" ht="13.5">
      <c r="I334" s="61"/>
    </row>
    <row r="335" ht="13.5">
      <c r="I335" s="61"/>
    </row>
    <row r="336" ht="13.5">
      <c r="I336" s="61"/>
    </row>
    <row r="337" ht="13.5">
      <c r="I337" s="61"/>
    </row>
    <row r="338" ht="13.5">
      <c r="I338" s="61"/>
    </row>
    <row r="339" ht="13.5">
      <c r="I339" s="61"/>
    </row>
    <row r="340" ht="13.5">
      <c r="I340" s="61"/>
    </row>
    <row r="341" ht="13.5">
      <c r="I341" s="61"/>
    </row>
    <row r="342" ht="13.5">
      <c r="I342" s="61"/>
    </row>
    <row r="343" ht="13.5">
      <c r="I343" s="61"/>
    </row>
    <row r="344" ht="13.5">
      <c r="I344" s="61"/>
    </row>
    <row r="345" ht="13.5">
      <c r="I345" s="61"/>
    </row>
    <row r="346" ht="13.5">
      <c r="I346" s="61"/>
    </row>
    <row r="347" ht="13.5">
      <c r="I347" s="61"/>
    </row>
    <row r="348" ht="13.5">
      <c r="I348" s="61"/>
    </row>
    <row r="349" ht="13.5">
      <c r="I349" s="61"/>
    </row>
    <row r="350" ht="13.5">
      <c r="I350" s="61"/>
    </row>
    <row r="351" ht="13.5">
      <c r="I351" s="61"/>
    </row>
    <row r="352" ht="13.5">
      <c r="I352" s="61"/>
    </row>
    <row r="353" ht="13.5">
      <c r="I353" s="61"/>
    </row>
    <row r="354" ht="13.5">
      <c r="I354" s="61"/>
    </row>
    <row r="355" ht="13.5">
      <c r="I355" s="61"/>
    </row>
    <row r="356" ht="13.5">
      <c r="I356" s="61"/>
    </row>
    <row r="357" ht="13.5">
      <c r="I357" s="61"/>
    </row>
    <row r="358" ht="13.5">
      <c r="I358" s="61"/>
    </row>
    <row r="359" ht="13.5">
      <c r="I359" s="61"/>
    </row>
    <row r="360" ht="13.5">
      <c r="I360" s="61"/>
    </row>
    <row r="361" ht="13.5">
      <c r="I361" s="61"/>
    </row>
    <row r="362" ht="13.5">
      <c r="I362" s="61"/>
    </row>
    <row r="363" ht="13.5">
      <c r="I363" s="61"/>
    </row>
    <row r="364" ht="13.5">
      <c r="I364" s="61"/>
    </row>
    <row r="365" ht="13.5">
      <c r="I365" s="61"/>
    </row>
    <row r="366" ht="13.5">
      <c r="I366" s="61"/>
    </row>
    <row r="367" ht="13.5">
      <c r="I367" s="61"/>
    </row>
    <row r="368" ht="13.5">
      <c r="I368" s="61"/>
    </row>
    <row r="369" ht="13.5">
      <c r="I369" s="61"/>
    </row>
    <row r="370" ht="13.5">
      <c r="I370" s="61"/>
    </row>
    <row r="371" ht="13.5">
      <c r="I371" s="61"/>
    </row>
    <row r="372" ht="13.5">
      <c r="I372" s="61"/>
    </row>
    <row r="373" ht="13.5">
      <c r="I373" s="61"/>
    </row>
    <row r="374" ht="13.5">
      <c r="I374" s="61"/>
    </row>
    <row r="375" ht="13.5">
      <c r="I375" s="61"/>
    </row>
  </sheetData>
  <sheetProtection/>
  <autoFilter ref="A1:P143"/>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Q121"/>
  <sheetViews>
    <sheetView workbookViewId="0" topLeftCell="A70">
      <selection activeCell="B82" sqref="B82"/>
    </sheetView>
  </sheetViews>
  <sheetFormatPr defaultColWidth="11.57421875" defaultRowHeight="15"/>
  <cols>
    <col min="1" max="2" width="20.28125" style="334" customWidth="1"/>
    <col min="3" max="3" width="11.421875" style="384" customWidth="1"/>
    <col min="4" max="4" width="43.00390625" style="334" customWidth="1"/>
    <col min="5" max="5" width="14.421875" style="331" customWidth="1"/>
    <col min="6" max="16384" width="11.421875" style="331" customWidth="1"/>
  </cols>
  <sheetData>
    <row r="1" spans="3:17" ht="16.5">
      <c r="C1" s="824"/>
      <c r="D1" s="824"/>
      <c r="E1" s="824"/>
      <c r="F1" s="824"/>
      <c r="G1" s="824"/>
      <c r="H1" s="824"/>
      <c r="I1" s="824"/>
      <c r="J1" s="824"/>
      <c r="K1" s="824"/>
      <c r="L1" s="824"/>
      <c r="M1" s="824"/>
      <c r="N1" s="824"/>
      <c r="O1" s="824"/>
      <c r="P1" s="824"/>
      <c r="Q1" s="824"/>
    </row>
    <row r="2" spans="3:17" ht="15">
      <c r="C2" s="825" t="s">
        <v>1242</v>
      </c>
      <c r="D2" s="825"/>
      <c r="E2" s="825"/>
      <c r="F2" s="825"/>
      <c r="G2" s="825"/>
      <c r="H2" s="825"/>
      <c r="I2" s="825"/>
      <c r="J2" s="825"/>
      <c r="K2" s="825"/>
      <c r="L2" s="825"/>
      <c r="M2" s="825"/>
      <c r="N2" s="825"/>
      <c r="O2" s="825"/>
      <c r="P2" s="825"/>
      <c r="Q2" s="825"/>
    </row>
    <row r="3" spans="3:17" ht="15">
      <c r="C3" s="826" t="s">
        <v>1243</v>
      </c>
      <c r="D3" s="826"/>
      <c r="E3" s="826"/>
      <c r="F3" s="826"/>
      <c r="G3" s="826"/>
      <c r="H3" s="826"/>
      <c r="I3" s="826"/>
      <c r="J3" s="826"/>
      <c r="K3" s="826"/>
      <c r="L3" s="826"/>
      <c r="M3" s="826"/>
      <c r="N3" s="826"/>
      <c r="O3" s="826"/>
      <c r="P3" s="826"/>
      <c r="Q3" s="826"/>
    </row>
    <row r="4" spans="3:17" ht="15">
      <c r="C4" s="827" t="s">
        <v>1244</v>
      </c>
      <c r="D4" s="827"/>
      <c r="E4" s="827"/>
      <c r="F4" s="827"/>
      <c r="G4" s="827"/>
      <c r="H4" s="827"/>
      <c r="I4" s="827"/>
      <c r="J4" s="827"/>
      <c r="K4" s="827"/>
      <c r="L4" s="827"/>
      <c r="M4" s="827"/>
      <c r="N4" s="827"/>
      <c r="O4" s="827"/>
      <c r="P4" s="827"/>
      <c r="Q4" s="827"/>
    </row>
    <row r="5" spans="3:17" ht="15">
      <c r="C5" s="826" t="s">
        <v>1288</v>
      </c>
      <c r="D5" s="826"/>
      <c r="E5" s="826"/>
      <c r="F5" s="826"/>
      <c r="G5" s="826"/>
      <c r="H5" s="826"/>
      <c r="I5" s="826"/>
      <c r="J5" s="826"/>
      <c r="K5" s="826"/>
      <c r="L5" s="826"/>
      <c r="M5" s="826"/>
      <c r="N5" s="826"/>
      <c r="O5" s="826"/>
      <c r="P5" s="826"/>
      <c r="Q5" s="826"/>
    </row>
    <row r="6" spans="3:17" ht="15">
      <c r="C6" s="332"/>
      <c r="D6" s="332"/>
      <c r="E6" s="332"/>
      <c r="F6" s="332"/>
      <c r="G6" s="332"/>
      <c r="H6" s="332"/>
      <c r="I6" s="332"/>
      <c r="J6" s="332"/>
      <c r="K6" s="332"/>
      <c r="L6" s="332"/>
      <c r="M6" s="332"/>
      <c r="N6" s="332"/>
      <c r="O6" s="332"/>
      <c r="P6" s="332"/>
      <c r="Q6" s="332"/>
    </row>
    <row r="7" spans="1:17" ht="10.5">
      <c r="A7" s="828" t="s">
        <v>1239</v>
      </c>
      <c r="B7" s="828"/>
      <c r="C7" s="334"/>
      <c r="D7" s="331"/>
      <c r="E7" s="335"/>
      <c r="F7" s="829" t="s">
        <v>1245</v>
      </c>
      <c r="G7" s="830"/>
      <c r="H7" s="830"/>
      <c r="I7" s="830" t="s">
        <v>1246</v>
      </c>
      <c r="J7" s="830"/>
      <c r="K7" s="830"/>
      <c r="L7" s="830" t="s">
        <v>1247</v>
      </c>
      <c r="M7" s="830"/>
      <c r="N7" s="830"/>
      <c r="O7" s="830" t="s">
        <v>1248</v>
      </c>
      <c r="P7" s="830"/>
      <c r="Q7" s="830"/>
    </row>
    <row r="8" spans="1:17" ht="10.5">
      <c r="A8" s="333" t="s">
        <v>1249</v>
      </c>
      <c r="B8" s="333" t="s">
        <v>9</v>
      </c>
      <c r="C8" s="336"/>
      <c r="D8" s="337"/>
      <c r="E8" s="333" t="s">
        <v>799</v>
      </c>
      <c r="F8" s="333" t="s">
        <v>1250</v>
      </c>
      <c r="G8" s="333" t="s">
        <v>1251</v>
      </c>
      <c r="H8" s="333" t="s">
        <v>1252</v>
      </c>
      <c r="I8" s="333" t="s">
        <v>1253</v>
      </c>
      <c r="J8" s="333" t="s">
        <v>1254</v>
      </c>
      <c r="K8" s="333" t="s">
        <v>1255</v>
      </c>
      <c r="L8" s="333" t="s">
        <v>1256</v>
      </c>
      <c r="M8" s="333" t="s">
        <v>1257</v>
      </c>
      <c r="N8" s="333" t="s">
        <v>1258</v>
      </c>
      <c r="O8" s="333" t="s">
        <v>1259</v>
      </c>
      <c r="P8" s="333" t="s">
        <v>1260</v>
      </c>
      <c r="Q8" s="333" t="s">
        <v>1261</v>
      </c>
    </row>
    <row r="9" spans="1:17" ht="10.5">
      <c r="A9" s="334" t="s">
        <v>26</v>
      </c>
      <c r="B9" s="334" t="s">
        <v>59</v>
      </c>
      <c r="C9" s="338" t="str">
        <f>'[3]HR '!C4</f>
        <v>International</v>
      </c>
      <c r="D9" s="339" t="str">
        <f>'[3]HR '!D4</f>
        <v>Country Director + National NTD Coordinator 50%</v>
      </c>
      <c r="E9" s="340">
        <f>'[3]HR '!E4</f>
        <v>25800</v>
      </c>
      <c r="F9" s="341">
        <f>'HR-Yr3'!F4</f>
        <v>2150</v>
      </c>
      <c r="G9" s="341">
        <f>'HR-Yr3'!G4</f>
        <v>2150</v>
      </c>
      <c r="H9" s="341">
        <f>'HR-Yr3'!H4</f>
        <v>2150</v>
      </c>
      <c r="I9" s="341">
        <f>'HR-Yr3'!I4</f>
        <v>2150</v>
      </c>
      <c r="J9" s="341">
        <f>'HR-Yr3'!J4</f>
        <v>2150</v>
      </c>
      <c r="K9" s="341">
        <f>'HR-Yr3'!K4</f>
        <v>2150</v>
      </c>
      <c r="L9" s="341">
        <f>'HR-Yr3'!L4</f>
        <v>2150</v>
      </c>
      <c r="M9" s="341">
        <f>'HR-Yr3'!M4</f>
        <v>2150</v>
      </c>
      <c r="N9" s="341">
        <f>'HR-Yr3'!N4</f>
        <v>2150</v>
      </c>
      <c r="O9" s="341">
        <f>'HR-Yr3'!O4</f>
        <v>2150</v>
      </c>
      <c r="P9" s="341">
        <f>'HR-Yr3'!P4</f>
        <v>2150</v>
      </c>
      <c r="Q9" s="341">
        <f>'HR-Yr3'!Q4</f>
        <v>2150</v>
      </c>
    </row>
    <row r="10" spans="1:17" ht="10.5">
      <c r="A10" s="334" t="s">
        <v>26</v>
      </c>
      <c r="B10" s="334" t="s">
        <v>59</v>
      </c>
      <c r="C10" s="342" t="str">
        <f>'[3]HR '!C5</f>
        <v>International</v>
      </c>
      <c r="D10" s="343" t="str">
        <f>'[3]HR '!D5</f>
        <v>Coordinator Finance &amp; Adm 50%</v>
      </c>
      <c r="E10" s="344">
        <f>'[3]HR '!E5</f>
        <v>24000</v>
      </c>
      <c r="F10" s="345">
        <f>'HR-Yr3'!F5</f>
        <v>2000</v>
      </c>
      <c r="G10" s="345">
        <f>'HR-Yr3'!G5</f>
        <v>2000</v>
      </c>
      <c r="H10" s="345">
        <f>'HR-Yr3'!H5</f>
        <v>2000</v>
      </c>
      <c r="I10" s="345">
        <f>'HR-Yr3'!I5</f>
        <v>2000</v>
      </c>
      <c r="J10" s="345">
        <f>'HR-Yr3'!J5</f>
        <v>2000</v>
      </c>
      <c r="K10" s="345">
        <f>'HR-Yr3'!K5</f>
        <v>2000</v>
      </c>
      <c r="L10" s="345">
        <f>'HR-Yr3'!L5</f>
        <v>2000</v>
      </c>
      <c r="M10" s="345">
        <f>'HR-Yr3'!M5</f>
        <v>2000</v>
      </c>
      <c r="N10" s="345">
        <f>'HR-Yr3'!N5</f>
        <v>2000</v>
      </c>
      <c r="O10" s="345">
        <f>'HR-Yr3'!O5</f>
        <v>2000</v>
      </c>
      <c r="P10" s="345">
        <f>'HR-Yr3'!P5</f>
        <v>2000</v>
      </c>
      <c r="Q10" s="345">
        <f>'HR-Yr3'!Q5</f>
        <v>2000</v>
      </c>
    </row>
    <row r="11" spans="1:17" ht="10.5">
      <c r="A11" s="334" t="s">
        <v>26</v>
      </c>
      <c r="B11" s="334" t="s">
        <v>853</v>
      </c>
      <c r="C11" s="342" t="str">
        <f>'[3]HR '!C6</f>
        <v>International</v>
      </c>
      <c r="D11" s="346" t="str">
        <f>'[3]HR '!D6</f>
        <v>Coordinator WASHE</v>
      </c>
      <c r="E11" s="347">
        <f>'[3]HR '!E6</f>
        <v>45600</v>
      </c>
      <c r="F11" s="385">
        <f>'HR-Yr3'!F6</f>
        <v>3800</v>
      </c>
      <c r="G11" s="348">
        <f>'HR-Yr3'!G6</f>
        <v>3800</v>
      </c>
      <c r="H11" s="348">
        <f>'HR-Yr3'!H6</f>
        <v>3800</v>
      </c>
      <c r="I11" s="348">
        <f>'HR-Yr3'!I6</f>
        <v>3800</v>
      </c>
      <c r="J11" s="348">
        <f>'HR-Yr3'!J6</f>
        <v>3800</v>
      </c>
      <c r="K11" s="348">
        <f>'HR-Yr3'!K6</f>
        <v>3800</v>
      </c>
      <c r="L11" s="348">
        <f>'HR-Yr3'!L6</f>
        <v>3800</v>
      </c>
      <c r="M11" s="348">
        <f>'HR-Yr3'!M6</f>
        <v>3800</v>
      </c>
      <c r="N11" s="348">
        <f>'HR-Yr3'!N6</f>
        <v>3800</v>
      </c>
      <c r="O11" s="348">
        <f>'HR-Yr3'!O6</f>
        <v>3800</v>
      </c>
      <c r="P11" s="348">
        <f>'HR-Yr3'!P6</f>
        <v>3800</v>
      </c>
      <c r="Q11" s="348">
        <f>'HR-Yr3'!Q6</f>
        <v>3800</v>
      </c>
    </row>
    <row r="12" spans="1:17" ht="10.5">
      <c r="A12" s="334" t="s">
        <v>26</v>
      </c>
      <c r="B12" s="334" t="s">
        <v>855</v>
      </c>
      <c r="C12" s="342" t="str">
        <f>'[3]HR '!C7</f>
        <v>International</v>
      </c>
      <c r="D12" s="349" t="str">
        <f>'[3]HR '!D7</f>
        <v>M&amp;E Coordinator</v>
      </c>
      <c r="E12" s="350">
        <f>'[3]HR '!E7</f>
        <v>41800</v>
      </c>
      <c r="F12" s="351">
        <f>'HR-Yr3'!F7</f>
        <v>0</v>
      </c>
      <c r="G12" s="351">
        <f>'HR-Yr3'!G7</f>
        <v>3800</v>
      </c>
      <c r="H12" s="351">
        <f>'HR-Yr3'!H7</f>
        <v>3800</v>
      </c>
      <c r="I12" s="351">
        <f>'HR-Yr3'!I7</f>
        <v>3800</v>
      </c>
      <c r="J12" s="351">
        <f>'HR-Yr3'!J7</f>
        <v>3800</v>
      </c>
      <c r="K12" s="351">
        <f>'HR-Yr3'!K7</f>
        <v>3800</v>
      </c>
      <c r="L12" s="351">
        <f>'HR-Yr3'!L7</f>
        <v>3800</v>
      </c>
      <c r="M12" s="351">
        <f>'HR-Yr3'!M7</f>
        <v>3800</v>
      </c>
      <c r="N12" s="351">
        <f>'HR-Yr3'!N7</f>
        <v>3800</v>
      </c>
      <c r="O12" s="351">
        <f>'HR-Yr3'!O7</f>
        <v>3800</v>
      </c>
      <c r="P12" s="351">
        <f>'HR-Yr3'!P7</f>
        <v>3800</v>
      </c>
      <c r="Q12" s="351">
        <f>'HR-Yr3'!Q7</f>
        <v>3800</v>
      </c>
    </row>
    <row r="13" spans="1:17" ht="10.5">
      <c r="A13" s="334" t="s">
        <v>26</v>
      </c>
      <c r="B13" s="334" t="s">
        <v>852</v>
      </c>
      <c r="C13" s="342" t="str">
        <f>'[3]HR '!C8</f>
        <v>International</v>
      </c>
      <c r="D13" s="349" t="str">
        <f>'[3]HR '!D8</f>
        <v>Partnership Coordinator / Technical Assistant (Luanda)</v>
      </c>
      <c r="E13" s="350">
        <f>'[3]HR '!E8</f>
        <v>46000</v>
      </c>
      <c r="F13" s="351">
        <f>'HR-Yr3'!F8</f>
        <v>2000</v>
      </c>
      <c r="G13" s="351">
        <f>'HR-Yr3'!G8</f>
        <v>4000</v>
      </c>
      <c r="H13" s="351">
        <f>'HR-Yr3'!H8</f>
        <v>4000</v>
      </c>
      <c r="I13" s="351">
        <f>'HR-Yr3'!I8</f>
        <v>4000</v>
      </c>
      <c r="J13" s="351">
        <f>'HR-Yr3'!J8</f>
        <v>4000</v>
      </c>
      <c r="K13" s="351">
        <f>'HR-Yr3'!K8</f>
        <v>4000</v>
      </c>
      <c r="L13" s="351">
        <f>'HR-Yr3'!L8</f>
        <v>4000</v>
      </c>
      <c r="M13" s="351">
        <f>'HR-Yr3'!M8</f>
        <v>4000</v>
      </c>
      <c r="N13" s="351">
        <f>'HR-Yr3'!N8</f>
        <v>4000</v>
      </c>
      <c r="O13" s="351">
        <f>'HR-Yr3'!O8</f>
        <v>4000</v>
      </c>
      <c r="P13" s="351">
        <f>'HR-Yr3'!P8</f>
        <v>4000</v>
      </c>
      <c r="Q13" s="351">
        <f>'HR-Yr3'!Q8</f>
        <v>4000</v>
      </c>
    </row>
    <row r="14" spans="1:17" ht="10.5">
      <c r="A14" s="334" t="s">
        <v>26</v>
      </c>
      <c r="B14" s="334" t="s">
        <v>852</v>
      </c>
      <c r="C14" s="342" t="str">
        <f>'[3]HR '!C9</f>
        <v>International</v>
      </c>
      <c r="D14" s="349" t="str">
        <f>'[3]HR '!D9</f>
        <v>Programme Coordinator (Zaire / Kuanza Sul)</v>
      </c>
      <c r="E14" s="350">
        <f>'[3]HR '!E9</f>
        <v>42000</v>
      </c>
      <c r="F14" s="351">
        <f>'HR-Yr3'!F9</f>
        <v>0</v>
      </c>
      <c r="G14" s="351">
        <f>'HR-Yr3'!G9</f>
        <v>2000</v>
      </c>
      <c r="H14" s="351">
        <f>'HR-Yr3'!H9</f>
        <v>4000</v>
      </c>
      <c r="I14" s="351">
        <f>'HR-Yr3'!I9</f>
        <v>4000</v>
      </c>
      <c r="J14" s="351">
        <f>'HR-Yr3'!J9</f>
        <v>4000</v>
      </c>
      <c r="K14" s="351">
        <f>'HR-Yr3'!K9</f>
        <v>4000</v>
      </c>
      <c r="L14" s="351">
        <f>'HR-Yr3'!L9</f>
        <v>4000</v>
      </c>
      <c r="M14" s="351">
        <f>'HR-Yr3'!M9</f>
        <v>4000</v>
      </c>
      <c r="N14" s="351">
        <f>'HR-Yr3'!N9</f>
        <v>4000</v>
      </c>
      <c r="O14" s="351">
        <f>'HR-Yr3'!O9</f>
        <v>4000</v>
      </c>
      <c r="P14" s="351">
        <f>'HR-Yr3'!P9</f>
        <v>4000</v>
      </c>
      <c r="Q14" s="351">
        <f>'HR-Yr3'!Q9</f>
        <v>4000</v>
      </c>
    </row>
    <row r="15" spans="1:17" ht="10.5">
      <c r="A15" s="334" t="s">
        <v>26</v>
      </c>
      <c r="B15" s="334" t="s">
        <v>852</v>
      </c>
      <c r="C15" s="342" t="str">
        <f>'[3]HR '!C10</f>
        <v>International</v>
      </c>
      <c r="D15" s="349" t="str">
        <f>'[3]HR '!D10</f>
        <v>Programme Coordinator (Uige) </v>
      </c>
      <c r="E15" s="350">
        <f>'[3]HR '!E10</f>
        <v>45600</v>
      </c>
      <c r="F15" s="351">
        <f>'HR-Yr3'!F10</f>
        <v>3800</v>
      </c>
      <c r="G15" s="351">
        <f>'HR-Yr3'!G10</f>
        <v>3800</v>
      </c>
      <c r="H15" s="351">
        <f>'HR-Yr3'!H10</f>
        <v>3800</v>
      </c>
      <c r="I15" s="351">
        <f>'HR-Yr3'!I10</f>
        <v>3800</v>
      </c>
      <c r="J15" s="351">
        <f>'HR-Yr3'!J10</f>
        <v>3800</v>
      </c>
      <c r="K15" s="351">
        <f>'HR-Yr3'!K10</f>
        <v>3800</v>
      </c>
      <c r="L15" s="351">
        <f>'HR-Yr3'!L10</f>
        <v>3800</v>
      </c>
      <c r="M15" s="351">
        <f>'HR-Yr3'!M10</f>
        <v>3800</v>
      </c>
      <c r="N15" s="351">
        <f>'HR-Yr3'!N10</f>
        <v>3800</v>
      </c>
      <c r="O15" s="351">
        <f>'HR-Yr3'!O10</f>
        <v>3800</v>
      </c>
      <c r="P15" s="351">
        <f>'HR-Yr3'!P10</f>
        <v>3800</v>
      </c>
      <c r="Q15" s="351">
        <f>'HR-Yr3'!Q10</f>
        <v>3800</v>
      </c>
    </row>
    <row r="16" spans="1:17" ht="10.5">
      <c r="A16" s="334" t="s">
        <v>26</v>
      </c>
      <c r="B16" s="334" t="s">
        <v>59</v>
      </c>
      <c r="C16" s="342" t="str">
        <f>'[3]HR '!C11</f>
        <v>International</v>
      </c>
      <c r="D16" s="349" t="str">
        <f>'[3]HR '!D20</f>
        <v>International staff - Fringe benefits </v>
      </c>
      <c r="E16" s="352">
        <f>'[3]HR '!E20</f>
        <v>21700</v>
      </c>
      <c r="F16" s="351">
        <f>'HR-Yr3'!F20</f>
        <v>4600</v>
      </c>
      <c r="G16" s="351">
        <f>'HR-Yr3'!G20</f>
        <v>2700</v>
      </c>
      <c r="H16" s="351">
        <f>'HR-Yr3'!H20</f>
        <v>800</v>
      </c>
      <c r="I16" s="351">
        <f>'HR-Yr3'!I20</f>
        <v>800</v>
      </c>
      <c r="J16" s="351">
        <f>'HR-Yr3'!J20</f>
        <v>2300</v>
      </c>
      <c r="K16" s="351">
        <f>'HR-Yr3'!K20</f>
        <v>1350</v>
      </c>
      <c r="L16" s="351">
        <f>'HR-Yr3'!L20</f>
        <v>2300</v>
      </c>
      <c r="M16" s="351">
        <f>'HR-Yr3'!M20</f>
        <v>1600</v>
      </c>
      <c r="N16" s="351">
        <f>'HR-Yr3'!N20</f>
        <v>800</v>
      </c>
      <c r="O16" s="351">
        <f>'HR-Yr3'!O20</f>
        <v>2850</v>
      </c>
      <c r="P16" s="351">
        <f>'HR-Yr3'!P20</f>
        <v>800</v>
      </c>
      <c r="Q16" s="351">
        <f>'HR-Yr3'!Q20</f>
        <v>800</v>
      </c>
    </row>
    <row r="17" spans="1:17" ht="10.5">
      <c r="A17" s="334" t="s">
        <v>26</v>
      </c>
      <c r="B17" s="334" t="s">
        <v>59</v>
      </c>
      <c r="C17" s="342" t="s">
        <v>1262</v>
      </c>
      <c r="D17" s="353" t="str">
        <f>'[3]HR '!D26</f>
        <v>International staff - Fringe benefits in-country</v>
      </c>
      <c r="E17" s="350">
        <f>'[3]HR '!E26</f>
        <v>71948.75</v>
      </c>
      <c r="F17" s="351">
        <f>'HR-Yr3'!F26</f>
        <v>4400</v>
      </c>
      <c r="G17" s="351">
        <f>'HR-Yr3'!G26</f>
        <v>4436.25</v>
      </c>
      <c r="H17" s="351">
        <f>'HR-Yr3'!H26</f>
        <v>6311.25</v>
      </c>
      <c r="I17" s="351">
        <f>'HR-Yr3'!I26</f>
        <v>6311.25</v>
      </c>
      <c r="J17" s="351">
        <f>'HR-Yr3'!J26</f>
        <v>6311.25</v>
      </c>
      <c r="K17" s="351">
        <f>'HR-Yr3'!K26</f>
        <v>6311.25</v>
      </c>
      <c r="L17" s="351">
        <f>'HR-Yr3'!L26</f>
        <v>6311.25</v>
      </c>
      <c r="M17" s="351">
        <f>'HR-Yr3'!M26</f>
        <v>6311.25</v>
      </c>
      <c r="N17" s="351">
        <f>'HR-Yr3'!N26</f>
        <v>6311.25</v>
      </c>
      <c r="O17" s="351">
        <f>'HR-Yr3'!O26</f>
        <v>6311.25</v>
      </c>
      <c r="P17" s="351">
        <f>'HR-Yr3'!P26</f>
        <v>6311.25</v>
      </c>
      <c r="Q17" s="351">
        <f>'HR-Yr3'!Q26</f>
        <v>6311.25</v>
      </c>
    </row>
    <row r="18" spans="1:17" ht="10.5">
      <c r="A18" s="334" t="s">
        <v>26</v>
      </c>
      <c r="B18" s="334" t="s">
        <v>59</v>
      </c>
      <c r="C18" s="354" t="str">
        <f>'[3]HR '!C40</f>
        <v>Central </v>
      </c>
      <c r="D18" s="355" t="str">
        <f>'[3]HR '!D40</f>
        <v>National staff  M&amp;A Central</v>
      </c>
      <c r="E18" s="356">
        <f>'[3]HR '!E40</f>
        <v>69030</v>
      </c>
      <c r="F18" s="761">
        <f>'HR-Yr3'!F40</f>
        <v>5296.25</v>
      </c>
      <c r="G18" s="761">
        <f>'HR-Yr3'!G40</f>
        <v>5296.25</v>
      </c>
      <c r="H18" s="761">
        <f>'HR-Yr3'!H40</f>
        <v>7340</v>
      </c>
      <c r="I18" s="761">
        <f>'HR-Yr3'!I40</f>
        <v>4996.25</v>
      </c>
      <c r="J18" s="761">
        <f>'HR-Yr3'!J40</f>
        <v>4996.25</v>
      </c>
      <c r="K18" s="761">
        <f>'HR-Yr3'!K40</f>
        <v>4996.25</v>
      </c>
      <c r="L18" s="761">
        <f>'HR-Yr3'!L40</f>
        <v>4996.25</v>
      </c>
      <c r="M18" s="761">
        <f>'HR-Yr3'!M40</f>
        <v>4996.25</v>
      </c>
      <c r="N18" s="761">
        <f>'HR-Yr3'!N40</f>
        <v>7040</v>
      </c>
      <c r="O18" s="761">
        <f>'HR-Yr3'!O40</f>
        <v>4996.25</v>
      </c>
      <c r="P18" s="761">
        <f>'HR-Yr3'!P40</f>
        <v>4996.25</v>
      </c>
      <c r="Q18" s="761">
        <f>'HR-Yr3'!Q40</f>
        <v>9083.75</v>
      </c>
    </row>
    <row r="19" spans="1:17" ht="10.5">
      <c r="A19" s="334" t="s">
        <v>26</v>
      </c>
      <c r="B19" s="334" t="s">
        <v>853</v>
      </c>
      <c r="C19" s="354" t="str">
        <f>'[3]HR '!C49</f>
        <v>Central </v>
      </c>
      <c r="D19" s="355" t="str">
        <f>'[3]HR '!D49</f>
        <v>National staff  M&amp;A Central</v>
      </c>
      <c r="E19" s="356">
        <f>'[3]HR '!E49</f>
        <v>22800</v>
      </c>
      <c r="F19" s="761">
        <f>'HR-Yr3'!F49</f>
        <v>1650</v>
      </c>
      <c r="G19" s="761">
        <f>'HR-Yr3'!G49</f>
        <v>1650</v>
      </c>
      <c r="H19" s="761">
        <f>'HR-Yr3'!H49</f>
        <v>2400</v>
      </c>
      <c r="I19" s="761">
        <f>'HR-Yr3'!I49</f>
        <v>1650</v>
      </c>
      <c r="J19" s="761">
        <f>'HR-Yr3'!J49</f>
        <v>1650</v>
      </c>
      <c r="K19" s="761">
        <f>'HR-Yr3'!K49</f>
        <v>1650</v>
      </c>
      <c r="L19" s="761">
        <f>'HR-Yr3'!L49</f>
        <v>1650</v>
      </c>
      <c r="M19" s="761">
        <f>'HR-Yr3'!M49</f>
        <v>1650</v>
      </c>
      <c r="N19" s="761">
        <f>'HR-Yr3'!N49</f>
        <v>2400</v>
      </c>
      <c r="O19" s="761">
        <f>'HR-Yr3'!O49</f>
        <v>1650</v>
      </c>
      <c r="P19" s="761">
        <f>'HR-Yr3'!P49</f>
        <v>1650</v>
      </c>
      <c r="Q19" s="761">
        <f>'HR-Yr3'!Q49</f>
        <v>3150</v>
      </c>
    </row>
    <row r="20" spans="1:17" ht="10.5">
      <c r="A20" s="334" t="s">
        <v>26</v>
      </c>
      <c r="B20" s="334" t="s">
        <v>59</v>
      </c>
      <c r="C20" s="354" t="str">
        <f>'[3]HR '!C59</f>
        <v>Luanda</v>
      </c>
      <c r="D20" s="355" t="str">
        <f>'[3]HR '!D59</f>
        <v>National staff - Management &amp; Admin Luanda</v>
      </c>
      <c r="E20" s="356">
        <f>'[3]HR '!E59</f>
        <v>18059.04</v>
      </c>
      <c r="F20" s="761">
        <f>'HR-Yr3'!F59</f>
        <v>1304.92</v>
      </c>
      <c r="G20" s="761">
        <f>'HR-Yr3'!G59</f>
        <v>1304.92</v>
      </c>
      <c r="H20" s="761">
        <f>'HR-Yr3'!H59</f>
        <v>1904.92</v>
      </c>
      <c r="I20" s="761">
        <f>'HR-Yr3'!I59</f>
        <v>1304.92</v>
      </c>
      <c r="J20" s="761">
        <f>'HR-Yr3'!J59</f>
        <v>1304.92</v>
      </c>
      <c r="K20" s="761">
        <f>'HR-Yr3'!K59</f>
        <v>1304.92</v>
      </c>
      <c r="L20" s="761">
        <f>'HR-Yr3'!L59</f>
        <v>1304.92</v>
      </c>
      <c r="M20" s="761">
        <f>'HR-Yr3'!M59</f>
        <v>1304.92</v>
      </c>
      <c r="N20" s="761">
        <f>'HR-Yr3'!N59</f>
        <v>1904.92</v>
      </c>
      <c r="O20" s="761">
        <f>'HR-Yr3'!O59</f>
        <v>1304.92</v>
      </c>
      <c r="P20" s="761">
        <f>'HR-Yr3'!P59</f>
        <v>1304.92</v>
      </c>
      <c r="Q20" s="761">
        <f>'HR-Yr3'!Q59</f>
        <v>2504.92</v>
      </c>
    </row>
    <row r="21" spans="1:17" ht="10.5">
      <c r="A21" s="334" t="s">
        <v>26</v>
      </c>
      <c r="B21" s="334" t="s">
        <v>852</v>
      </c>
      <c r="C21" s="354" t="str">
        <f>'[3]HR '!C70</f>
        <v>Huambo</v>
      </c>
      <c r="D21" s="355" t="str">
        <f>'[3]HR '!D70</f>
        <v>National staff - Capacity Building Huambo</v>
      </c>
      <c r="E21" s="356">
        <f>'[3]HR '!E70</f>
        <v>41040</v>
      </c>
      <c r="F21" s="761">
        <f>'HR-Yr3'!F70</f>
        <v>2970</v>
      </c>
      <c r="G21" s="761">
        <f>'HR-Yr3'!G70</f>
        <v>2970</v>
      </c>
      <c r="H21" s="761">
        <f>'HR-Yr3'!H70</f>
        <v>4320</v>
      </c>
      <c r="I21" s="761">
        <f>'HR-Yr3'!I70</f>
        <v>2970</v>
      </c>
      <c r="J21" s="761">
        <f>'HR-Yr3'!J70</f>
        <v>2970</v>
      </c>
      <c r="K21" s="761">
        <f>'HR-Yr3'!K70</f>
        <v>2970</v>
      </c>
      <c r="L21" s="761">
        <f>'HR-Yr3'!L70</f>
        <v>2970</v>
      </c>
      <c r="M21" s="761">
        <f>'HR-Yr3'!M70</f>
        <v>2970</v>
      </c>
      <c r="N21" s="761">
        <f>'HR-Yr3'!N70</f>
        <v>4320</v>
      </c>
      <c r="O21" s="761">
        <f>'HR-Yr3'!O70</f>
        <v>2970</v>
      </c>
      <c r="P21" s="761">
        <f>'HR-Yr3'!P70</f>
        <v>2970</v>
      </c>
      <c r="Q21" s="761">
        <f>'HR-Yr3'!Q70</f>
        <v>5670</v>
      </c>
    </row>
    <row r="22" spans="1:17" ht="10.5">
      <c r="A22" s="334" t="s">
        <v>26</v>
      </c>
      <c r="B22" s="334" t="s">
        <v>59</v>
      </c>
      <c r="C22" s="354" t="str">
        <f>'[3]HR '!C81</f>
        <v>Huambo</v>
      </c>
      <c r="D22" s="355" t="str">
        <f>'[3]HR '!D81</f>
        <v>National staff - Management &amp; Admin Huambo</v>
      </c>
      <c r="E22" s="356">
        <f>'[3]HR '!E81</f>
        <v>44830</v>
      </c>
      <c r="F22" s="761">
        <f>'HR-Yr3'!F81</f>
        <v>2365</v>
      </c>
      <c r="G22" s="761">
        <f>'HR-Yr3'!G81</f>
        <v>2365</v>
      </c>
      <c r="H22" s="761">
        <f>'HR-Yr3'!H81</f>
        <v>3440</v>
      </c>
      <c r="I22" s="761">
        <f>'HR-Yr3'!I81</f>
        <v>2365</v>
      </c>
      <c r="J22" s="761">
        <f>'HR-Yr3'!J81</f>
        <v>2365</v>
      </c>
      <c r="K22" s="761">
        <f>'HR-Yr3'!K81</f>
        <v>2365</v>
      </c>
      <c r="L22" s="761">
        <f>'HR-Yr3'!L81</f>
        <v>4015</v>
      </c>
      <c r="M22" s="761">
        <f>'HR-Yr3'!M81</f>
        <v>4015</v>
      </c>
      <c r="N22" s="761">
        <f>'HR-Yr3'!N81</f>
        <v>5840</v>
      </c>
      <c r="O22" s="761">
        <f>'HR-Yr3'!O81</f>
        <v>4015</v>
      </c>
      <c r="P22" s="761">
        <f>'HR-Yr3'!P81</f>
        <v>4015</v>
      </c>
      <c r="Q22" s="761">
        <f>'HR-Yr3'!Q81</f>
        <v>7665</v>
      </c>
    </row>
    <row r="23" spans="1:17" ht="10.5">
      <c r="A23" s="334" t="s">
        <v>26</v>
      </c>
      <c r="B23" s="334" t="s">
        <v>853</v>
      </c>
      <c r="C23" s="354" t="str">
        <f>'[3]HR '!C91</f>
        <v>Huambo</v>
      </c>
      <c r="D23" s="355" t="str">
        <f>'[3]HR '!D91</f>
        <v>National staff - WASHE Huambo</v>
      </c>
      <c r="E23" s="356">
        <f>'[3]HR '!E91</f>
        <v>28120</v>
      </c>
      <c r="F23" s="761">
        <f>'HR-Yr3'!F91</f>
        <v>2035</v>
      </c>
      <c r="G23" s="761">
        <f>'HR-Yr3'!G91</f>
        <v>2035</v>
      </c>
      <c r="H23" s="761">
        <f>'HR-Yr3'!H91</f>
        <v>2960</v>
      </c>
      <c r="I23" s="761">
        <f>'HR-Yr3'!I91</f>
        <v>2035</v>
      </c>
      <c r="J23" s="761">
        <f>'HR-Yr3'!J91</f>
        <v>2035</v>
      </c>
      <c r="K23" s="761">
        <f>'HR-Yr3'!K91</f>
        <v>2035</v>
      </c>
      <c r="L23" s="761">
        <f>'HR-Yr3'!L91</f>
        <v>2035</v>
      </c>
      <c r="M23" s="761">
        <f>'HR-Yr3'!M91</f>
        <v>2035</v>
      </c>
      <c r="N23" s="761">
        <f>'HR-Yr3'!N91</f>
        <v>2960</v>
      </c>
      <c r="O23" s="761">
        <f>'HR-Yr3'!O91</f>
        <v>2035</v>
      </c>
      <c r="P23" s="761">
        <f>'HR-Yr3'!P91</f>
        <v>2035</v>
      </c>
      <c r="Q23" s="761">
        <f>'HR-Yr3'!Q91</f>
        <v>3885</v>
      </c>
    </row>
    <row r="24" spans="1:17" ht="10.5">
      <c r="A24" s="334" t="s">
        <v>26</v>
      </c>
      <c r="B24" s="334" t="s">
        <v>852</v>
      </c>
      <c r="C24" s="354" t="str">
        <f>'[3]HR '!C103</f>
        <v>Uige</v>
      </c>
      <c r="D24" s="355" t="str">
        <f>'[3]HR '!D103</f>
        <v>National staff - Capacity Building Uige</v>
      </c>
      <c r="E24" s="356">
        <f>'[3]HR '!E103</f>
        <v>91960</v>
      </c>
      <c r="F24" s="761">
        <f>'HR-Yr3'!F103</f>
        <v>6655</v>
      </c>
      <c r="G24" s="761">
        <f>'HR-Yr3'!G103</f>
        <v>6655</v>
      </c>
      <c r="H24" s="761">
        <f>'HR-Yr3'!H103</f>
        <v>9680</v>
      </c>
      <c r="I24" s="761">
        <f>'HR-Yr3'!I103</f>
        <v>6655</v>
      </c>
      <c r="J24" s="761">
        <f>'HR-Yr3'!J103</f>
        <v>6655</v>
      </c>
      <c r="K24" s="761">
        <f>'HR-Yr3'!K103</f>
        <v>6655</v>
      </c>
      <c r="L24" s="761">
        <f>'HR-Yr3'!L103</f>
        <v>6655</v>
      </c>
      <c r="M24" s="761">
        <f>'HR-Yr3'!M103</f>
        <v>6655</v>
      </c>
      <c r="N24" s="761">
        <f>'HR-Yr3'!N103</f>
        <v>9680</v>
      </c>
      <c r="O24" s="761">
        <f>'HR-Yr3'!O103</f>
        <v>6655</v>
      </c>
      <c r="P24" s="761">
        <f>'HR-Yr3'!P103</f>
        <v>6655</v>
      </c>
      <c r="Q24" s="761">
        <f>'HR-Yr3'!Q103</f>
        <v>12705</v>
      </c>
    </row>
    <row r="25" spans="1:17" ht="10.5">
      <c r="A25" s="334" t="s">
        <v>26</v>
      </c>
      <c r="B25" s="334" t="s">
        <v>59</v>
      </c>
      <c r="C25" s="354" t="str">
        <f>'[3]HR '!C115</f>
        <v>Uige</v>
      </c>
      <c r="D25" s="355" t="str">
        <f>'[3]HR '!D115</f>
        <v>National staff - Management &amp; Admin Uige</v>
      </c>
      <c r="E25" s="356">
        <f>'[3]HR '!E115</f>
        <v>29260</v>
      </c>
      <c r="F25" s="761">
        <f>'HR-Yr3'!F115</f>
        <v>2117.5</v>
      </c>
      <c r="G25" s="761">
        <f>'HR-Yr3'!G115</f>
        <v>2117.5</v>
      </c>
      <c r="H25" s="761">
        <f>'HR-Yr3'!H115</f>
        <v>3080</v>
      </c>
      <c r="I25" s="761">
        <f>'HR-Yr3'!I115</f>
        <v>2117.5</v>
      </c>
      <c r="J25" s="761">
        <f>'HR-Yr3'!J115</f>
        <v>2117.5</v>
      </c>
      <c r="K25" s="761">
        <f>'HR-Yr3'!K115</f>
        <v>2117.5</v>
      </c>
      <c r="L25" s="761">
        <f>'HR-Yr3'!L115</f>
        <v>2117.5</v>
      </c>
      <c r="M25" s="761">
        <f>'HR-Yr3'!M115</f>
        <v>2117.5</v>
      </c>
      <c r="N25" s="761">
        <f>'HR-Yr3'!N115</f>
        <v>3080</v>
      </c>
      <c r="O25" s="761">
        <f>'HR-Yr3'!O115</f>
        <v>2117.5</v>
      </c>
      <c r="P25" s="761">
        <f>'HR-Yr3'!P115</f>
        <v>2117.5</v>
      </c>
      <c r="Q25" s="761">
        <f>'HR-Yr3'!Q115</f>
        <v>4042.5</v>
      </c>
    </row>
    <row r="26" spans="1:17" ht="10.5">
      <c r="A26" s="334" t="s">
        <v>26</v>
      </c>
      <c r="B26" s="334" t="s">
        <v>853</v>
      </c>
      <c r="C26" s="354" t="str">
        <f>'[3]HR '!C125</f>
        <v>Uige</v>
      </c>
      <c r="D26" s="355" t="str">
        <f>'[3]HR '!D125</f>
        <v>National staff - WASHE Uige</v>
      </c>
      <c r="E26" s="356">
        <f>'[3]HR '!E125</f>
        <v>28120</v>
      </c>
      <c r="F26" s="761">
        <f>'HR-Yr3'!F125</f>
        <v>2035</v>
      </c>
      <c r="G26" s="761">
        <f>'HR-Yr3'!G125</f>
        <v>2035</v>
      </c>
      <c r="H26" s="761">
        <f>'HR-Yr3'!H125</f>
        <v>2960</v>
      </c>
      <c r="I26" s="761">
        <f>'HR-Yr3'!I125</f>
        <v>2035</v>
      </c>
      <c r="J26" s="761">
        <f>'HR-Yr3'!J125</f>
        <v>2035</v>
      </c>
      <c r="K26" s="761">
        <f>'HR-Yr3'!K125</f>
        <v>2035</v>
      </c>
      <c r="L26" s="761">
        <f>'HR-Yr3'!L125</f>
        <v>2035</v>
      </c>
      <c r="M26" s="761">
        <f>'HR-Yr3'!M125</f>
        <v>2035</v>
      </c>
      <c r="N26" s="761">
        <f>'HR-Yr3'!N125</f>
        <v>2960</v>
      </c>
      <c r="O26" s="761">
        <f>'HR-Yr3'!O125</f>
        <v>2035</v>
      </c>
      <c r="P26" s="761">
        <f>'HR-Yr3'!P125</f>
        <v>2035</v>
      </c>
      <c r="Q26" s="761">
        <f>'HR-Yr3'!Q125</f>
        <v>3885</v>
      </c>
    </row>
    <row r="27" spans="1:17" ht="10.5">
      <c r="A27" s="334" t="s">
        <v>26</v>
      </c>
      <c r="B27" s="334" t="s">
        <v>852</v>
      </c>
      <c r="C27" s="354" t="str">
        <f>'[3]HR '!C137</f>
        <v>Zaire</v>
      </c>
      <c r="D27" s="355" t="str">
        <f>'[3]HR '!D137</f>
        <v>National staff - Capacity Building Zaire</v>
      </c>
      <c r="E27" s="356">
        <f>'[3]HR '!E137</f>
        <v>46360</v>
      </c>
      <c r="F27" s="761">
        <f>'HR-Yr3'!F137</f>
        <v>3355</v>
      </c>
      <c r="G27" s="761">
        <f>'HR-Yr3'!G137</f>
        <v>3355</v>
      </c>
      <c r="H27" s="761">
        <f>'HR-Yr3'!H137</f>
        <v>4880</v>
      </c>
      <c r="I27" s="761">
        <f>'HR-Yr3'!I137</f>
        <v>3355</v>
      </c>
      <c r="J27" s="761">
        <f>'HR-Yr3'!J137</f>
        <v>3355</v>
      </c>
      <c r="K27" s="761">
        <f>'HR-Yr3'!K137</f>
        <v>3355</v>
      </c>
      <c r="L27" s="761">
        <f>'HR-Yr3'!L137</f>
        <v>3355</v>
      </c>
      <c r="M27" s="761">
        <f>'HR-Yr3'!M137</f>
        <v>3355</v>
      </c>
      <c r="N27" s="761">
        <f>'HR-Yr3'!N137</f>
        <v>4880</v>
      </c>
      <c r="O27" s="761">
        <f>'HR-Yr3'!O137</f>
        <v>3355</v>
      </c>
      <c r="P27" s="761">
        <f>'HR-Yr3'!P137</f>
        <v>3355</v>
      </c>
      <c r="Q27" s="761">
        <f>'HR-Yr3'!Q137</f>
        <v>6405</v>
      </c>
    </row>
    <row r="28" spans="1:17" ht="10.5">
      <c r="A28" s="334" t="s">
        <v>26</v>
      </c>
      <c r="B28" s="334" t="s">
        <v>59</v>
      </c>
      <c r="C28" s="354" t="str">
        <f>'[3]HR '!C149</f>
        <v>Zaire</v>
      </c>
      <c r="D28" s="355" t="str">
        <f>'[3]HR '!D149</f>
        <v>National staff - Management &amp; Admin Zaire</v>
      </c>
      <c r="E28" s="356">
        <f>'[3]HR '!E149</f>
        <v>26790</v>
      </c>
      <c r="F28" s="761">
        <f>'HR-Yr3'!F149</f>
        <v>1938.75</v>
      </c>
      <c r="G28" s="761">
        <f>'HR-Yr3'!G149</f>
        <v>1938.75</v>
      </c>
      <c r="H28" s="761">
        <f>'HR-Yr3'!H149</f>
        <v>2820</v>
      </c>
      <c r="I28" s="761">
        <f>'HR-Yr3'!I149</f>
        <v>1938.75</v>
      </c>
      <c r="J28" s="761">
        <f>'HR-Yr3'!J149</f>
        <v>1938.75</v>
      </c>
      <c r="K28" s="761">
        <f>'HR-Yr3'!K149</f>
        <v>1938.75</v>
      </c>
      <c r="L28" s="761">
        <f>'HR-Yr3'!L149</f>
        <v>1938.75</v>
      </c>
      <c r="M28" s="761">
        <f>'HR-Yr3'!M149</f>
        <v>1938.75</v>
      </c>
      <c r="N28" s="761">
        <f>'HR-Yr3'!N149</f>
        <v>2820</v>
      </c>
      <c r="O28" s="761">
        <f>'HR-Yr3'!O149</f>
        <v>1938.75</v>
      </c>
      <c r="P28" s="761">
        <f>'HR-Yr3'!P149</f>
        <v>1938.75</v>
      </c>
      <c r="Q28" s="761">
        <f>'HR-Yr3'!Q149</f>
        <v>3701.25</v>
      </c>
    </row>
    <row r="29" spans="1:17" ht="10.5">
      <c r="A29" s="334" t="s">
        <v>26</v>
      </c>
      <c r="B29" s="334" t="s">
        <v>853</v>
      </c>
      <c r="C29" s="354" t="str">
        <f>'[3]HR '!C159</f>
        <v>Zaire</v>
      </c>
      <c r="D29" s="355" t="str">
        <f>'[3]HR '!D159</f>
        <v>National staff - WASHE Zaire</v>
      </c>
      <c r="E29" s="356">
        <f>'[3]HR '!E159</f>
        <v>28120</v>
      </c>
      <c r="F29" s="761">
        <f>'HR-Yr3'!F159</f>
        <v>2035</v>
      </c>
      <c r="G29" s="761">
        <f>'HR-Yr3'!G159</f>
        <v>2035</v>
      </c>
      <c r="H29" s="761">
        <f>'HR-Yr3'!H159</f>
        <v>2960</v>
      </c>
      <c r="I29" s="761">
        <f>'HR-Yr3'!I159</f>
        <v>2035</v>
      </c>
      <c r="J29" s="761">
        <f>'HR-Yr3'!J159</f>
        <v>2035</v>
      </c>
      <c r="K29" s="761">
        <f>'HR-Yr3'!K159</f>
        <v>2035</v>
      </c>
      <c r="L29" s="761">
        <f>'HR-Yr3'!L159</f>
        <v>2035</v>
      </c>
      <c r="M29" s="761">
        <f>'HR-Yr3'!M159</f>
        <v>2035</v>
      </c>
      <c r="N29" s="761">
        <f>'HR-Yr3'!N159</f>
        <v>2960</v>
      </c>
      <c r="O29" s="761">
        <f>'HR-Yr3'!O159</f>
        <v>2035</v>
      </c>
      <c r="P29" s="761">
        <f>'HR-Yr3'!P159</f>
        <v>2035</v>
      </c>
      <c r="Q29" s="761">
        <f>'HR-Yr3'!Q159</f>
        <v>3885</v>
      </c>
    </row>
    <row r="30" spans="1:17" ht="10.5">
      <c r="A30" s="334" t="s">
        <v>26</v>
      </c>
      <c r="B30" s="334" t="s">
        <v>852</v>
      </c>
      <c r="C30" s="354" t="str">
        <f>'[3]HR '!C171</f>
        <v>Bie</v>
      </c>
      <c r="D30" s="355" t="str">
        <f>'[3]HR '!D171</f>
        <v>National staff - Capacity Building Bie </v>
      </c>
      <c r="E30" s="356">
        <f>'[3]HR '!E171</f>
        <v>79040</v>
      </c>
      <c r="F30" s="761">
        <f>'HR-Yr3'!F171</f>
        <v>5720</v>
      </c>
      <c r="G30" s="761">
        <f>'HR-Yr3'!G171</f>
        <v>5720</v>
      </c>
      <c r="H30" s="761">
        <f>'HR-Yr3'!H171</f>
        <v>8320</v>
      </c>
      <c r="I30" s="761">
        <f>'HR-Yr3'!I171</f>
        <v>5720</v>
      </c>
      <c r="J30" s="761">
        <f>'HR-Yr3'!J171</f>
        <v>5720</v>
      </c>
      <c r="K30" s="761">
        <f>'HR-Yr3'!K171</f>
        <v>5720</v>
      </c>
      <c r="L30" s="761">
        <f>'HR-Yr3'!L171</f>
        <v>5720</v>
      </c>
      <c r="M30" s="761">
        <f>'HR-Yr3'!M171</f>
        <v>5720</v>
      </c>
      <c r="N30" s="761">
        <f>'HR-Yr3'!N171</f>
        <v>8320</v>
      </c>
      <c r="O30" s="761">
        <f>'HR-Yr3'!O171</f>
        <v>5720</v>
      </c>
      <c r="P30" s="761">
        <f>'HR-Yr3'!P171</f>
        <v>5720</v>
      </c>
      <c r="Q30" s="761">
        <f>'HR-Yr3'!Q171</f>
        <v>10920</v>
      </c>
    </row>
    <row r="31" spans="1:17" ht="10.5">
      <c r="A31" s="334" t="s">
        <v>27</v>
      </c>
      <c r="B31" s="334" t="s">
        <v>852</v>
      </c>
      <c r="C31" s="354" t="str">
        <f>'[3]TA'!C4</f>
        <v>International</v>
      </c>
      <c r="D31" s="355" t="str">
        <f>'[3]TA'!D4</f>
        <v>Consultants (short term assignments)</v>
      </c>
      <c r="E31" s="356">
        <f>'[3]TA'!E4</f>
        <v>11250</v>
      </c>
      <c r="F31" s="761">
        <f>'TA-Yr3'!F4</f>
        <v>0</v>
      </c>
      <c r="G31" s="761">
        <f>'TA-Yr3'!G4</f>
        <v>0</v>
      </c>
      <c r="H31" s="761">
        <f>'TA-Yr3'!H4</f>
        <v>7500</v>
      </c>
      <c r="I31" s="761">
        <f>'TA-Yr3'!I4</f>
        <v>3750</v>
      </c>
      <c r="J31" s="761" t="str">
        <f>'TA-Yr3'!J4</f>
        <v>-</v>
      </c>
      <c r="K31" s="761">
        <f>'TA-Yr3'!K4</f>
        <v>0</v>
      </c>
      <c r="L31" s="761">
        <f>'TA-Yr3'!L4</f>
        <v>0</v>
      </c>
      <c r="M31" s="761">
        <f>'TA-Yr3'!M4</f>
        <v>0</v>
      </c>
      <c r="N31" s="761">
        <f>'TA-Yr3'!N4</f>
        <v>0</v>
      </c>
      <c r="O31" s="761">
        <f>'TA-Yr3'!O4</f>
        <v>0</v>
      </c>
      <c r="P31" s="761">
        <f>'TA-Yr3'!P4</f>
        <v>0</v>
      </c>
      <c r="Q31" s="761">
        <f>'TA-Yr3'!Q4</f>
        <v>0</v>
      </c>
    </row>
    <row r="32" spans="1:17" ht="10.5">
      <c r="A32" s="334" t="s">
        <v>27</v>
      </c>
      <c r="B32" s="334" t="s">
        <v>852</v>
      </c>
      <c r="C32" s="354" t="str">
        <f>'[3]TA'!C12</f>
        <v>Luanda</v>
      </c>
      <c r="D32" s="355" t="str">
        <f>'[3]TA'!D12</f>
        <v>Subsidy to MoH NTD staff / Consultants</v>
      </c>
      <c r="E32" s="356">
        <f>'[3]TA'!E12</f>
        <v>54000</v>
      </c>
      <c r="F32" s="761">
        <f>'TA-Yr3'!F12</f>
        <v>4500</v>
      </c>
      <c r="G32" s="761">
        <f>'TA-Yr3'!G12</f>
        <v>4500</v>
      </c>
      <c r="H32" s="761">
        <f>'TA-Yr3'!H12</f>
        <v>4500</v>
      </c>
      <c r="I32" s="761">
        <f>'TA-Yr3'!I12</f>
        <v>4500</v>
      </c>
      <c r="J32" s="761">
        <f>'TA-Yr3'!J12</f>
        <v>4500</v>
      </c>
      <c r="K32" s="761">
        <f>'TA-Yr3'!K12</f>
        <v>4500</v>
      </c>
      <c r="L32" s="761">
        <f>'TA-Yr3'!L12</f>
        <v>4500</v>
      </c>
      <c r="M32" s="761">
        <f>'TA-Yr3'!M12</f>
        <v>4500</v>
      </c>
      <c r="N32" s="761">
        <f>'TA-Yr3'!N12</f>
        <v>4500</v>
      </c>
      <c r="O32" s="761">
        <f>'TA-Yr3'!O12</f>
        <v>4500</v>
      </c>
      <c r="P32" s="761">
        <f>'TA-Yr3'!P12</f>
        <v>4500</v>
      </c>
      <c r="Q32" s="761">
        <f>'TA-Yr3'!Q12</f>
        <v>4500</v>
      </c>
    </row>
    <row r="33" spans="1:17" ht="10.5">
      <c r="A33" s="334" t="s">
        <v>27</v>
      </c>
      <c r="B33" s="334" t="s">
        <v>59</v>
      </c>
      <c r="C33" s="354" t="str">
        <f>'[3]TA'!C16</f>
        <v>Central</v>
      </c>
      <c r="D33" s="355" t="str">
        <f>'[3]TA'!D16</f>
        <v>Daily labor (e.g. replacement guards, drivers, etc.)</v>
      </c>
      <c r="E33" s="356">
        <f>'[3]TA'!E16</f>
        <v>3600</v>
      </c>
      <c r="F33" s="761">
        <f>'TA-Yr3'!F16</f>
        <v>300</v>
      </c>
      <c r="G33" s="761">
        <f>'TA-Yr3'!G16</f>
        <v>300</v>
      </c>
      <c r="H33" s="761">
        <f>'TA-Yr3'!H16</f>
        <v>300</v>
      </c>
      <c r="I33" s="761">
        <f>'TA-Yr3'!I16</f>
        <v>300</v>
      </c>
      <c r="J33" s="761">
        <f>'TA-Yr3'!J16</f>
        <v>300</v>
      </c>
      <c r="K33" s="761">
        <f>'TA-Yr3'!K16</f>
        <v>300</v>
      </c>
      <c r="L33" s="761">
        <f>'TA-Yr3'!L16</f>
        <v>300</v>
      </c>
      <c r="M33" s="761">
        <f>'TA-Yr3'!M16</f>
        <v>300</v>
      </c>
      <c r="N33" s="761">
        <f>'TA-Yr3'!N16</f>
        <v>300</v>
      </c>
      <c r="O33" s="761">
        <f>'TA-Yr3'!O16</f>
        <v>300</v>
      </c>
      <c r="P33" s="761">
        <f>'TA-Yr3'!P16</f>
        <v>300</v>
      </c>
      <c r="Q33" s="761">
        <f>'TA-Yr3'!Q16</f>
        <v>300</v>
      </c>
    </row>
    <row r="34" spans="1:17" ht="10.5">
      <c r="A34" s="334" t="s">
        <v>27</v>
      </c>
      <c r="B34" s="334" t="s">
        <v>59</v>
      </c>
      <c r="C34" s="354" t="str">
        <f>'[3]TA'!C17</f>
        <v>Luanda</v>
      </c>
      <c r="D34" s="355" t="str">
        <f>'[3]TA'!D17</f>
        <v>Daily labor (e.g replacement driver, repairs, etc.)</v>
      </c>
      <c r="E34" s="356">
        <f>'[3]TA'!E17</f>
        <v>1200</v>
      </c>
      <c r="F34" s="761">
        <f>'TA-Yr3'!F17</f>
        <v>100</v>
      </c>
      <c r="G34" s="761">
        <f>'TA-Yr3'!G17</f>
        <v>100</v>
      </c>
      <c r="H34" s="761">
        <f>'TA-Yr3'!H17</f>
        <v>100</v>
      </c>
      <c r="I34" s="761">
        <f>'TA-Yr3'!I17</f>
        <v>100</v>
      </c>
      <c r="J34" s="761">
        <f>'TA-Yr3'!J17</f>
        <v>100</v>
      </c>
      <c r="K34" s="761">
        <f>'TA-Yr3'!K17</f>
        <v>100</v>
      </c>
      <c r="L34" s="761">
        <f>'TA-Yr3'!L17</f>
        <v>100</v>
      </c>
      <c r="M34" s="761">
        <f>'TA-Yr3'!M17</f>
        <v>100</v>
      </c>
      <c r="N34" s="761">
        <f>'TA-Yr3'!N17</f>
        <v>100</v>
      </c>
      <c r="O34" s="761">
        <f>'TA-Yr3'!O17</f>
        <v>100</v>
      </c>
      <c r="P34" s="761">
        <f>'TA-Yr3'!P17</f>
        <v>100</v>
      </c>
      <c r="Q34" s="761">
        <f>'TA-Yr3'!Q17</f>
        <v>100</v>
      </c>
    </row>
    <row r="35" spans="1:17" ht="10.5">
      <c r="A35" s="334" t="s">
        <v>27</v>
      </c>
      <c r="B35" s="334" t="s">
        <v>59</v>
      </c>
      <c r="C35" s="354" t="str">
        <f>'[3]TA'!C18</f>
        <v>Uige</v>
      </c>
      <c r="D35" s="355" t="str">
        <f>'[3]TA'!D18</f>
        <v>Daily labor (e.g. replacement guards, drivers, etc. )</v>
      </c>
      <c r="E35" s="356">
        <f>'[3]TA'!E18</f>
        <v>2400</v>
      </c>
      <c r="F35" s="761">
        <f>'TA-Yr3'!F18</f>
        <v>200</v>
      </c>
      <c r="G35" s="761">
        <f>'TA-Yr3'!G18</f>
        <v>200</v>
      </c>
      <c r="H35" s="761">
        <f>'TA-Yr3'!H18</f>
        <v>200</v>
      </c>
      <c r="I35" s="761">
        <f>'TA-Yr3'!I18</f>
        <v>200</v>
      </c>
      <c r="J35" s="761">
        <f>'TA-Yr3'!J18</f>
        <v>200</v>
      </c>
      <c r="K35" s="761">
        <f>'TA-Yr3'!K18</f>
        <v>200</v>
      </c>
      <c r="L35" s="761">
        <f>'TA-Yr3'!L18</f>
        <v>200</v>
      </c>
      <c r="M35" s="761">
        <f>'TA-Yr3'!M18</f>
        <v>200</v>
      </c>
      <c r="N35" s="761">
        <f>'TA-Yr3'!N18</f>
        <v>200</v>
      </c>
      <c r="O35" s="761">
        <f>'TA-Yr3'!O18</f>
        <v>200</v>
      </c>
      <c r="P35" s="761">
        <f>'TA-Yr3'!P18</f>
        <v>200</v>
      </c>
      <c r="Q35" s="761">
        <f>'TA-Yr3'!Q18</f>
        <v>200</v>
      </c>
    </row>
    <row r="36" spans="1:17" ht="10.5">
      <c r="A36" s="334" t="s">
        <v>27</v>
      </c>
      <c r="B36" s="334" t="s">
        <v>59</v>
      </c>
      <c r="C36" s="354" t="str">
        <f>'[3]TA'!C19</f>
        <v>Zaire</v>
      </c>
      <c r="D36" s="355" t="str">
        <f>'[3]TA'!D19</f>
        <v>Daily labor (e.g. replacement guards, drivers, etc. )</v>
      </c>
      <c r="E36" s="356">
        <f>'[3]TA'!E19</f>
        <v>1800</v>
      </c>
      <c r="F36" s="761">
        <f>'TA-Yr3'!F19</f>
        <v>150</v>
      </c>
      <c r="G36" s="761">
        <f>'TA-Yr3'!G19</f>
        <v>150</v>
      </c>
      <c r="H36" s="761">
        <f>'TA-Yr3'!H19</f>
        <v>150</v>
      </c>
      <c r="I36" s="761">
        <f>'TA-Yr3'!I19</f>
        <v>150</v>
      </c>
      <c r="J36" s="761">
        <f>'TA-Yr3'!J19</f>
        <v>150</v>
      </c>
      <c r="K36" s="761">
        <f>'TA-Yr3'!K19</f>
        <v>150</v>
      </c>
      <c r="L36" s="761">
        <f>'TA-Yr3'!L19</f>
        <v>150</v>
      </c>
      <c r="M36" s="761">
        <f>'TA-Yr3'!M19</f>
        <v>150</v>
      </c>
      <c r="N36" s="761">
        <f>'TA-Yr3'!N19</f>
        <v>150</v>
      </c>
      <c r="O36" s="761">
        <f>'TA-Yr3'!O19</f>
        <v>150</v>
      </c>
      <c r="P36" s="761">
        <f>'TA-Yr3'!P19</f>
        <v>150</v>
      </c>
      <c r="Q36" s="761">
        <f>'TA-Yr3'!Q19</f>
        <v>150</v>
      </c>
    </row>
    <row r="37" spans="1:17" ht="10.5">
      <c r="A37" s="334" t="s">
        <v>27</v>
      </c>
      <c r="B37" s="334" t="s">
        <v>59</v>
      </c>
      <c r="C37" s="354" t="str">
        <f>'[3]TA'!C20</f>
        <v>Bie</v>
      </c>
      <c r="D37" s="355" t="str">
        <f>'[3]TA'!D20</f>
        <v>Daily labor (e.g. replacement guards, drivers, etc. )</v>
      </c>
      <c r="E37" s="356">
        <f>'[3]TA'!E20</f>
        <v>1200</v>
      </c>
      <c r="F37" s="761">
        <f>'TA-Yr3'!F20</f>
        <v>100</v>
      </c>
      <c r="G37" s="761">
        <f>'TA-Yr3'!G20</f>
        <v>100</v>
      </c>
      <c r="H37" s="761">
        <f>'TA-Yr3'!H20</f>
        <v>100</v>
      </c>
      <c r="I37" s="761">
        <f>'TA-Yr3'!I20</f>
        <v>100</v>
      </c>
      <c r="J37" s="761">
        <f>'TA-Yr3'!J20</f>
        <v>100</v>
      </c>
      <c r="K37" s="761">
        <f>'TA-Yr3'!K20</f>
        <v>100</v>
      </c>
      <c r="L37" s="761">
        <f>'TA-Yr3'!L20</f>
        <v>100</v>
      </c>
      <c r="M37" s="761">
        <f>'TA-Yr3'!M20</f>
        <v>100</v>
      </c>
      <c r="N37" s="761">
        <f>'TA-Yr3'!N20</f>
        <v>100</v>
      </c>
      <c r="O37" s="761">
        <f>'TA-Yr3'!O20</f>
        <v>100</v>
      </c>
      <c r="P37" s="761">
        <f>'TA-Yr3'!P20</f>
        <v>100</v>
      </c>
      <c r="Q37" s="761">
        <f>'TA-Yr3'!Q20</f>
        <v>100</v>
      </c>
    </row>
    <row r="38" spans="1:17" ht="10.5">
      <c r="A38" s="334" t="s">
        <v>34</v>
      </c>
      <c r="B38" s="334" t="s">
        <v>59</v>
      </c>
      <c r="C38" s="354" t="str">
        <f>'[3]P&amp;A'!C4</f>
        <v>Central</v>
      </c>
      <c r="D38" s="358" t="str">
        <f>'[3]P&amp;A'!D9</f>
        <v>Rent Office &amp; staff accom</v>
      </c>
      <c r="E38" s="350">
        <f>'[3]P&amp;A'!E9</f>
        <v>132900</v>
      </c>
      <c r="F38" s="761">
        <f>'P&amp;A-Yr3'!F9</f>
        <v>30500</v>
      </c>
      <c r="G38" s="761">
        <f>'P&amp;A-Yr3'!G9</f>
        <v>7500</v>
      </c>
      <c r="H38" s="761">
        <f>'P&amp;A-Yr3'!H9</f>
        <v>0</v>
      </c>
      <c r="I38" s="761">
        <f>'P&amp;A-Yr3'!I9</f>
        <v>0</v>
      </c>
      <c r="J38" s="761">
        <f>'P&amp;A-Yr3'!J9</f>
        <v>0</v>
      </c>
      <c r="K38" s="761">
        <f>'P&amp;A-Yr3'!K9</f>
        <v>70400</v>
      </c>
      <c r="L38" s="761">
        <f>'P&amp;A-Yr3'!L9</f>
        <v>24500</v>
      </c>
      <c r="M38" s="761">
        <f>'P&amp;A-Yr3'!M9</f>
        <v>0</v>
      </c>
      <c r="N38" s="761">
        <f>'P&amp;A-Yr3'!N9</f>
        <v>0</v>
      </c>
      <c r="O38" s="761">
        <f>'P&amp;A-Yr3'!O9</f>
        <v>0</v>
      </c>
      <c r="P38" s="761">
        <f>'P&amp;A-Yr3'!P9</f>
        <v>0</v>
      </c>
      <c r="Q38" s="761">
        <f>'P&amp;A-Yr3'!Q9</f>
        <v>0</v>
      </c>
    </row>
    <row r="39" spans="1:17" ht="10.5">
      <c r="A39" s="334" t="s">
        <v>34</v>
      </c>
      <c r="B39" s="334" t="s">
        <v>59</v>
      </c>
      <c r="C39" s="354" t="str">
        <f>'[3]P&amp;A'!C13</f>
        <v>Central</v>
      </c>
      <c r="D39" s="355" t="str">
        <f>'[3]P&amp;A'!D13</f>
        <v>Office &amp; accom running (utilities, stationary, communication, bank fees, representation, etc)</v>
      </c>
      <c r="E39" s="350">
        <f>'[3]P&amp;A'!E13</f>
        <v>12000</v>
      </c>
      <c r="F39" s="761">
        <f>'P&amp;A-Yr3'!F13</f>
        <v>1000</v>
      </c>
      <c r="G39" s="761">
        <f>'P&amp;A-Yr3'!G13</f>
        <v>1000</v>
      </c>
      <c r="H39" s="761">
        <f>'P&amp;A-Yr3'!H13</f>
        <v>1000</v>
      </c>
      <c r="I39" s="761">
        <f>'P&amp;A-Yr3'!I13</f>
        <v>1000</v>
      </c>
      <c r="J39" s="761">
        <f>'P&amp;A-Yr3'!J13</f>
        <v>1000</v>
      </c>
      <c r="K39" s="761">
        <f>'P&amp;A-Yr3'!K13</f>
        <v>1000</v>
      </c>
      <c r="L39" s="761">
        <f>'P&amp;A-Yr3'!L13</f>
        <v>1000</v>
      </c>
      <c r="M39" s="761">
        <f>'P&amp;A-Yr3'!M13</f>
        <v>1000</v>
      </c>
      <c r="N39" s="761">
        <f>'P&amp;A-Yr3'!N13</f>
        <v>1000</v>
      </c>
      <c r="O39" s="761">
        <f>'P&amp;A-Yr3'!O13</f>
        <v>1000</v>
      </c>
      <c r="P39" s="761">
        <f>'P&amp;A-Yr3'!P13</f>
        <v>1000</v>
      </c>
      <c r="Q39" s="761">
        <f>'P&amp;A-Yr3'!Q13</f>
        <v>1000</v>
      </c>
    </row>
    <row r="40" spans="1:17" ht="10.5">
      <c r="A40" s="334" t="s">
        <v>34</v>
      </c>
      <c r="B40" s="334" t="s">
        <v>59</v>
      </c>
      <c r="C40" s="354" t="str">
        <f>'[3]P&amp;A'!C14</f>
        <v>Luanda</v>
      </c>
      <c r="D40" s="355" t="str">
        <f>'[3]P&amp;A'!D14</f>
        <v>Office &amp; accom running (utilities, stationary, communication, bank fees, etc)</v>
      </c>
      <c r="E40" s="350">
        <f>'[3]P&amp;A'!E14</f>
        <v>4800</v>
      </c>
      <c r="F40" s="761">
        <f>'P&amp;A-Yr3'!F14</f>
        <v>400</v>
      </c>
      <c r="G40" s="761">
        <f>'P&amp;A-Yr3'!G14</f>
        <v>400</v>
      </c>
      <c r="H40" s="761">
        <f>'P&amp;A-Yr3'!H14</f>
        <v>400</v>
      </c>
      <c r="I40" s="761">
        <f>'P&amp;A-Yr3'!I14</f>
        <v>400</v>
      </c>
      <c r="J40" s="761">
        <f>'P&amp;A-Yr3'!J14</f>
        <v>400</v>
      </c>
      <c r="K40" s="761">
        <f>'P&amp;A-Yr3'!K14</f>
        <v>400</v>
      </c>
      <c r="L40" s="761">
        <f>'P&amp;A-Yr3'!L14</f>
        <v>400</v>
      </c>
      <c r="M40" s="761">
        <f>'P&amp;A-Yr3'!M14</f>
        <v>400</v>
      </c>
      <c r="N40" s="761">
        <f>'P&amp;A-Yr3'!N14</f>
        <v>400</v>
      </c>
      <c r="O40" s="761">
        <f>'P&amp;A-Yr3'!O14</f>
        <v>400</v>
      </c>
      <c r="P40" s="761">
        <f>'P&amp;A-Yr3'!P14</f>
        <v>400</v>
      </c>
      <c r="Q40" s="761">
        <f>'P&amp;A-Yr3'!Q14</f>
        <v>400</v>
      </c>
    </row>
    <row r="41" spans="1:17" ht="10.5">
      <c r="A41" s="334" t="s">
        <v>34</v>
      </c>
      <c r="B41" s="334" t="s">
        <v>59</v>
      </c>
      <c r="C41" s="354" t="str">
        <f>'[3]P&amp;A'!C15</f>
        <v>Uige</v>
      </c>
      <c r="D41" s="355" t="str">
        <f>'[3]P&amp;A'!D15</f>
        <v>Office &amp; accom running (utilities, stationary, communication, bank fees, etc)</v>
      </c>
      <c r="E41" s="350">
        <f>'[3]P&amp;A'!E15</f>
        <v>7200</v>
      </c>
      <c r="F41" s="761">
        <f>'P&amp;A-Yr3'!F15</f>
        <v>600</v>
      </c>
      <c r="G41" s="761">
        <f>'P&amp;A-Yr3'!G15</f>
        <v>600</v>
      </c>
      <c r="H41" s="761">
        <f>'P&amp;A-Yr3'!H15</f>
        <v>600</v>
      </c>
      <c r="I41" s="761">
        <f>'P&amp;A-Yr3'!I15</f>
        <v>600</v>
      </c>
      <c r="J41" s="761">
        <f>'P&amp;A-Yr3'!J15</f>
        <v>600</v>
      </c>
      <c r="K41" s="761">
        <f>'P&amp;A-Yr3'!K15</f>
        <v>600</v>
      </c>
      <c r="L41" s="761">
        <f>'P&amp;A-Yr3'!L15</f>
        <v>600</v>
      </c>
      <c r="M41" s="761">
        <f>'P&amp;A-Yr3'!M15</f>
        <v>600</v>
      </c>
      <c r="N41" s="761">
        <f>'P&amp;A-Yr3'!N15</f>
        <v>600</v>
      </c>
      <c r="O41" s="761">
        <f>'P&amp;A-Yr3'!O15</f>
        <v>600</v>
      </c>
      <c r="P41" s="761">
        <f>'P&amp;A-Yr3'!P15</f>
        <v>600</v>
      </c>
      <c r="Q41" s="761">
        <f>'P&amp;A-Yr3'!Q15</f>
        <v>600</v>
      </c>
    </row>
    <row r="42" spans="1:17" ht="10.5">
      <c r="A42" s="334" t="s">
        <v>34</v>
      </c>
      <c r="B42" s="334" t="s">
        <v>59</v>
      </c>
      <c r="C42" s="354" t="str">
        <f>'[3]P&amp;A'!C16</f>
        <v>Zaire</v>
      </c>
      <c r="D42" s="355" t="str">
        <f>'[3]P&amp;A'!D16</f>
        <v>Office &amp; accom running (utilities, stationary, communication, bank fees, etc)</v>
      </c>
      <c r="E42" s="350">
        <f>'[3]P&amp;A'!E16</f>
        <v>6000</v>
      </c>
      <c r="F42" s="761">
        <f>'P&amp;A-Yr3'!F16</f>
        <v>500</v>
      </c>
      <c r="G42" s="761">
        <f>'P&amp;A-Yr3'!G16</f>
        <v>500</v>
      </c>
      <c r="H42" s="761">
        <f>'P&amp;A-Yr3'!H16</f>
        <v>500</v>
      </c>
      <c r="I42" s="761">
        <f>'P&amp;A-Yr3'!I16</f>
        <v>500</v>
      </c>
      <c r="J42" s="761">
        <f>'P&amp;A-Yr3'!J16</f>
        <v>500</v>
      </c>
      <c r="K42" s="761">
        <f>'P&amp;A-Yr3'!K16</f>
        <v>500</v>
      </c>
      <c r="L42" s="761">
        <f>'P&amp;A-Yr3'!L16</f>
        <v>500</v>
      </c>
      <c r="M42" s="761">
        <f>'P&amp;A-Yr3'!M16</f>
        <v>500</v>
      </c>
      <c r="N42" s="761">
        <f>'P&amp;A-Yr3'!N16</f>
        <v>500</v>
      </c>
      <c r="O42" s="761">
        <f>'P&amp;A-Yr3'!O16</f>
        <v>500</v>
      </c>
      <c r="P42" s="761">
        <f>'P&amp;A-Yr3'!P16</f>
        <v>500</v>
      </c>
      <c r="Q42" s="761">
        <f>'P&amp;A-Yr3'!Q16</f>
        <v>500</v>
      </c>
    </row>
    <row r="43" spans="1:17" ht="10.5">
      <c r="A43" s="334" t="s">
        <v>34</v>
      </c>
      <c r="B43" s="334" t="s">
        <v>59</v>
      </c>
      <c r="C43" s="354" t="str">
        <f>'[3]P&amp;A'!C17</f>
        <v>Bie</v>
      </c>
      <c r="D43" s="759" t="str">
        <f>'[3]P&amp;A'!D17</f>
        <v>Office &amp; accom running (utilities, stationary, communication, bank fees, etc)</v>
      </c>
      <c r="E43" s="350">
        <f>'[3]P&amp;A'!E17</f>
        <v>4000</v>
      </c>
      <c r="F43" s="761">
        <f>'P&amp;A-Yr3'!F17</f>
        <v>500</v>
      </c>
      <c r="G43" s="761">
        <f>'P&amp;A-Yr3'!G17</f>
        <v>250</v>
      </c>
      <c r="H43" s="761">
        <f>'P&amp;A-Yr3'!H17</f>
        <v>250</v>
      </c>
      <c r="I43" s="761">
        <f>'P&amp;A-Yr3'!I17</f>
        <v>500</v>
      </c>
      <c r="J43" s="761">
        <f>'P&amp;A-Yr3'!J17</f>
        <v>250</v>
      </c>
      <c r="K43" s="761">
        <f>'P&amp;A-Yr3'!K17</f>
        <v>250</v>
      </c>
      <c r="L43" s="761">
        <f>'P&amp;A-Yr3'!L17</f>
        <v>500</v>
      </c>
      <c r="M43" s="761">
        <f>'P&amp;A-Yr3'!M17</f>
        <v>250</v>
      </c>
      <c r="N43" s="761">
        <f>'P&amp;A-Yr3'!N17</f>
        <v>250</v>
      </c>
      <c r="O43" s="761">
        <f>'P&amp;A-Yr3'!O17</f>
        <v>500</v>
      </c>
      <c r="P43" s="761">
        <f>'P&amp;A-Yr3'!P17</f>
        <v>250</v>
      </c>
      <c r="Q43" s="761">
        <f>'P&amp;A-Yr3'!Q17</f>
        <v>250</v>
      </c>
    </row>
    <row r="44" spans="1:17" ht="10.5">
      <c r="A44" s="334" t="s">
        <v>34</v>
      </c>
      <c r="B44" s="334" t="s">
        <v>59</v>
      </c>
      <c r="C44" s="354" t="str">
        <f>'[3]P&amp;A'!C21</f>
        <v>Central</v>
      </c>
      <c r="D44" s="355" t="str">
        <f>'[3]P&amp;A'!D21</f>
        <v>National travel </v>
      </c>
      <c r="E44" s="350">
        <f>'[3]P&amp;A'!E21</f>
        <v>9600</v>
      </c>
      <c r="F44" s="761">
        <f>'P&amp;A-Yr3'!F21</f>
        <v>800</v>
      </c>
      <c r="G44" s="761">
        <f>'P&amp;A-Yr3'!G21</f>
        <v>800</v>
      </c>
      <c r="H44" s="761">
        <f>'P&amp;A-Yr3'!H21</f>
        <v>800</v>
      </c>
      <c r="I44" s="761">
        <f>'P&amp;A-Yr3'!I21</f>
        <v>800</v>
      </c>
      <c r="J44" s="761">
        <f>'P&amp;A-Yr3'!J21</f>
        <v>800</v>
      </c>
      <c r="K44" s="761">
        <f>'P&amp;A-Yr3'!K21</f>
        <v>800</v>
      </c>
      <c r="L44" s="761">
        <f>'P&amp;A-Yr3'!L21</f>
        <v>800</v>
      </c>
      <c r="M44" s="761">
        <f>'P&amp;A-Yr3'!M21</f>
        <v>800</v>
      </c>
      <c r="N44" s="761">
        <f>'P&amp;A-Yr3'!N21</f>
        <v>800</v>
      </c>
      <c r="O44" s="761">
        <f>'P&amp;A-Yr3'!O21</f>
        <v>800</v>
      </c>
      <c r="P44" s="761">
        <f>'P&amp;A-Yr3'!P21</f>
        <v>800</v>
      </c>
      <c r="Q44" s="761">
        <f>'P&amp;A-Yr3'!Q21</f>
        <v>800</v>
      </c>
    </row>
    <row r="45" spans="1:17" ht="10.5">
      <c r="A45" s="334" t="s">
        <v>34</v>
      </c>
      <c r="B45" s="334" t="s">
        <v>59</v>
      </c>
      <c r="C45" s="354" t="str">
        <f>'[3]P&amp;A'!C22</f>
        <v>Central</v>
      </c>
      <c r="D45" s="355" t="str">
        <f>'[3]P&amp;A'!D22</f>
        <v>Translations &amp; legal fees </v>
      </c>
      <c r="E45" s="350">
        <f>'[3]P&amp;A'!E22</f>
        <v>3000</v>
      </c>
      <c r="F45" s="761">
        <f>'P&amp;A-Yr3'!F22</f>
        <v>250</v>
      </c>
      <c r="G45" s="761">
        <f>'P&amp;A-Yr3'!G22</f>
        <v>250</v>
      </c>
      <c r="H45" s="761">
        <f>'P&amp;A-Yr3'!H22</f>
        <v>250</v>
      </c>
      <c r="I45" s="761">
        <f>'P&amp;A-Yr3'!I22</f>
        <v>250</v>
      </c>
      <c r="J45" s="761">
        <f>'P&amp;A-Yr3'!J22</f>
        <v>250</v>
      </c>
      <c r="K45" s="761">
        <f>'P&amp;A-Yr3'!K22</f>
        <v>250</v>
      </c>
      <c r="L45" s="761">
        <f>'P&amp;A-Yr3'!L22</f>
        <v>250</v>
      </c>
      <c r="M45" s="761">
        <f>'P&amp;A-Yr3'!M22</f>
        <v>250</v>
      </c>
      <c r="N45" s="761">
        <f>'P&amp;A-Yr3'!N22</f>
        <v>250</v>
      </c>
      <c r="O45" s="761">
        <f>'P&amp;A-Yr3'!O22</f>
        <v>250</v>
      </c>
      <c r="P45" s="761">
        <f>'P&amp;A-Yr3'!P22</f>
        <v>250</v>
      </c>
      <c r="Q45" s="761">
        <f>'P&amp;A-Yr3'!Q22</f>
        <v>250</v>
      </c>
    </row>
    <row r="46" spans="1:17" ht="10.5">
      <c r="A46" s="334" t="s">
        <v>34</v>
      </c>
      <c r="B46" s="334" t="s">
        <v>59</v>
      </c>
      <c r="C46" s="354" t="str">
        <f>'[3]P&amp;A'!C23</f>
        <v>Central</v>
      </c>
      <c r="D46" s="355" t="str">
        <f>'[3]P&amp;A'!D23</f>
        <v>Mid term F&amp;A evaluation</v>
      </c>
      <c r="E46" s="350">
        <f>'[3]P&amp;A'!E23</f>
        <v>7500</v>
      </c>
      <c r="F46" s="761">
        <f>'P&amp;A-Yr3'!F23</f>
        <v>0</v>
      </c>
      <c r="G46" s="761">
        <f>'P&amp;A-Yr3'!G23</f>
        <v>0</v>
      </c>
      <c r="H46" s="761">
        <f>'P&amp;A-Yr3'!H23</f>
        <v>0</v>
      </c>
      <c r="I46" s="761">
        <f>'P&amp;A-Yr3'!I23</f>
        <v>0</v>
      </c>
      <c r="J46" s="761">
        <f>'P&amp;A-Yr3'!J23</f>
        <v>0</v>
      </c>
      <c r="K46" s="761">
        <f>'P&amp;A-Yr3'!K23</f>
        <v>0</v>
      </c>
      <c r="L46" s="761">
        <f>'P&amp;A-Yr3'!L23</f>
        <v>0</v>
      </c>
      <c r="M46" s="761">
        <f>'P&amp;A-Yr3'!M23</f>
        <v>7500</v>
      </c>
      <c r="N46" s="761">
        <f>'P&amp;A-Yr3'!N23</f>
        <v>0</v>
      </c>
      <c r="O46" s="761">
        <f>'P&amp;A-Yr3'!O23</f>
        <v>0</v>
      </c>
      <c r="P46" s="761">
        <f>'P&amp;A-Yr3'!P23</f>
        <v>0</v>
      </c>
      <c r="Q46" s="761">
        <f>'P&amp;A-Yr3'!Q23</f>
        <v>0</v>
      </c>
    </row>
    <row r="47" spans="1:17" ht="10.5">
      <c r="A47" s="334" t="s">
        <v>34</v>
      </c>
      <c r="B47" s="334" t="s">
        <v>59</v>
      </c>
      <c r="C47" s="354" t="str">
        <f>'[3]P&amp;A'!C24</f>
        <v>International</v>
      </c>
      <c r="D47" s="355" t="str">
        <f>'[3]P&amp;A'!D24</f>
        <v>Audit fees</v>
      </c>
      <c r="E47" s="350">
        <f>'[3]P&amp;A'!E24</f>
        <v>7500</v>
      </c>
      <c r="F47" s="761">
        <f>'P&amp;A-Yr3'!F24</f>
        <v>0</v>
      </c>
      <c r="G47" s="761">
        <f>'P&amp;A-Yr3'!G24</f>
        <v>0</v>
      </c>
      <c r="H47" s="761">
        <f>'P&amp;A-Yr3'!H24</f>
        <v>0</v>
      </c>
      <c r="I47" s="761">
        <f>'P&amp;A-Yr3'!I24</f>
        <v>0</v>
      </c>
      <c r="J47" s="761">
        <f>'P&amp;A-Yr3'!J24</f>
        <v>0</v>
      </c>
      <c r="K47" s="761">
        <f>'P&amp;A-Yr3'!K24</f>
        <v>7500</v>
      </c>
      <c r="L47" s="761">
        <f>'P&amp;A-Yr3'!L24</f>
        <v>0</v>
      </c>
      <c r="M47" s="761">
        <f>'P&amp;A-Yr3'!M24</f>
        <v>0</v>
      </c>
      <c r="N47" s="761">
        <f>'P&amp;A-Yr3'!N24</f>
        <v>0</v>
      </c>
      <c r="O47" s="761">
        <f>'P&amp;A-Yr3'!O24</f>
        <v>0</v>
      </c>
      <c r="P47" s="761">
        <f>'P&amp;A-Yr3'!P24</f>
        <v>0</v>
      </c>
      <c r="Q47" s="761">
        <f>'P&amp;A-Yr3'!Q24</f>
        <v>0</v>
      </c>
    </row>
    <row r="48" spans="1:17" ht="10.5">
      <c r="A48" s="334" t="s">
        <v>34</v>
      </c>
      <c r="B48" s="334" t="s">
        <v>59</v>
      </c>
      <c r="C48" s="354" t="str">
        <f>'[3]P&amp;A'!C28</f>
        <v>Huambo</v>
      </c>
      <c r="D48" s="359" t="str">
        <f>'[3]P&amp;A'!D28</f>
        <v>staff travel &amp; accommodation</v>
      </c>
      <c r="E48" s="352">
        <f>'[3]P&amp;A'!E28</f>
        <v>6000</v>
      </c>
      <c r="F48" s="761">
        <f>'P&amp;A-Yr3'!F28</f>
        <v>500</v>
      </c>
      <c r="G48" s="761">
        <f>'P&amp;A-Yr3'!G28</f>
        <v>500</v>
      </c>
      <c r="H48" s="761">
        <f>'P&amp;A-Yr3'!H28</f>
        <v>500</v>
      </c>
      <c r="I48" s="761">
        <f>'P&amp;A-Yr3'!I28</f>
        <v>500</v>
      </c>
      <c r="J48" s="761">
        <f>'P&amp;A-Yr3'!J28</f>
        <v>500</v>
      </c>
      <c r="K48" s="761">
        <f>'P&amp;A-Yr3'!K28</f>
        <v>500</v>
      </c>
      <c r="L48" s="761">
        <f>'P&amp;A-Yr3'!L28</f>
        <v>500</v>
      </c>
      <c r="M48" s="761">
        <f>'P&amp;A-Yr3'!M28</f>
        <v>500</v>
      </c>
      <c r="N48" s="761">
        <f>'P&amp;A-Yr3'!N28</f>
        <v>500</v>
      </c>
      <c r="O48" s="761">
        <f>'P&amp;A-Yr3'!O28</f>
        <v>500</v>
      </c>
      <c r="P48" s="761">
        <f>'P&amp;A-Yr3'!P28</f>
        <v>500</v>
      </c>
      <c r="Q48" s="761">
        <f>'P&amp;A-Yr3'!Q28</f>
        <v>500</v>
      </c>
    </row>
    <row r="49" spans="1:17" ht="10.5">
      <c r="A49" s="334" t="s">
        <v>34</v>
      </c>
      <c r="B49" s="334" t="s">
        <v>59</v>
      </c>
      <c r="C49" s="354" t="str">
        <f>'[3]P&amp;A'!C29</f>
        <v>Uige</v>
      </c>
      <c r="D49" s="359" t="str">
        <f>'[3]P&amp;A'!D29</f>
        <v>staff travel &amp; accommodation</v>
      </c>
      <c r="E49" s="350">
        <f>'[3]P&amp;A'!E29</f>
        <v>3000</v>
      </c>
      <c r="F49" s="761">
        <f>'P&amp;A-Yr3'!F29</f>
        <v>250</v>
      </c>
      <c r="G49" s="761">
        <f>'P&amp;A-Yr3'!G29</f>
        <v>250</v>
      </c>
      <c r="H49" s="761">
        <f>'P&amp;A-Yr3'!H29</f>
        <v>250</v>
      </c>
      <c r="I49" s="761">
        <f>'P&amp;A-Yr3'!I29</f>
        <v>250</v>
      </c>
      <c r="J49" s="761">
        <f>'P&amp;A-Yr3'!J29</f>
        <v>250</v>
      </c>
      <c r="K49" s="761">
        <f>'P&amp;A-Yr3'!K29</f>
        <v>250</v>
      </c>
      <c r="L49" s="761">
        <f>'P&amp;A-Yr3'!L29</f>
        <v>250</v>
      </c>
      <c r="M49" s="761">
        <f>'P&amp;A-Yr3'!M29</f>
        <v>250</v>
      </c>
      <c r="N49" s="761">
        <f>'P&amp;A-Yr3'!N29</f>
        <v>250</v>
      </c>
      <c r="O49" s="761">
        <f>'P&amp;A-Yr3'!O29</f>
        <v>250</v>
      </c>
      <c r="P49" s="761">
        <f>'P&amp;A-Yr3'!P29</f>
        <v>250</v>
      </c>
      <c r="Q49" s="761">
        <f>'P&amp;A-Yr3'!Q29</f>
        <v>250</v>
      </c>
    </row>
    <row r="50" spans="1:17" ht="10.5">
      <c r="A50" s="334" t="s">
        <v>34</v>
      </c>
      <c r="B50" s="334" t="s">
        <v>59</v>
      </c>
      <c r="C50" s="354" t="str">
        <f>'[3]P&amp;A'!C30</f>
        <v>Zaire</v>
      </c>
      <c r="D50" s="359" t="str">
        <f>'[3]P&amp;A'!D30</f>
        <v>staff travel &amp; accommodation</v>
      </c>
      <c r="E50" s="350">
        <f>'[3]P&amp;A'!E30</f>
        <v>3000</v>
      </c>
      <c r="F50" s="761">
        <f>'P&amp;A-Yr3'!F30</f>
        <v>250</v>
      </c>
      <c r="G50" s="761">
        <f>'P&amp;A-Yr3'!G30</f>
        <v>250</v>
      </c>
      <c r="H50" s="761">
        <f>'P&amp;A-Yr3'!H30</f>
        <v>250</v>
      </c>
      <c r="I50" s="761">
        <f>'P&amp;A-Yr3'!I30</f>
        <v>250</v>
      </c>
      <c r="J50" s="761">
        <f>'P&amp;A-Yr3'!J30</f>
        <v>250</v>
      </c>
      <c r="K50" s="761">
        <f>'P&amp;A-Yr3'!K30</f>
        <v>250</v>
      </c>
      <c r="L50" s="761">
        <f>'P&amp;A-Yr3'!L30</f>
        <v>250</v>
      </c>
      <c r="M50" s="761">
        <f>'P&amp;A-Yr3'!M30</f>
        <v>250</v>
      </c>
      <c r="N50" s="761">
        <f>'P&amp;A-Yr3'!N30</f>
        <v>250</v>
      </c>
      <c r="O50" s="761">
        <f>'P&amp;A-Yr3'!O30</f>
        <v>250</v>
      </c>
      <c r="P50" s="761">
        <f>'P&amp;A-Yr3'!P30</f>
        <v>250</v>
      </c>
      <c r="Q50" s="761">
        <f>'P&amp;A-Yr3'!Q30</f>
        <v>250</v>
      </c>
    </row>
    <row r="51" spans="1:17" ht="10.5">
      <c r="A51" s="334" t="s">
        <v>34</v>
      </c>
      <c r="B51" s="334" t="s">
        <v>59</v>
      </c>
      <c r="C51" s="354" t="str">
        <f>'[3]P&amp;A'!C31</f>
        <v>Bie</v>
      </c>
      <c r="D51" s="359" t="str">
        <f>'[3]P&amp;A'!D31</f>
        <v>staff travel &amp; accommodation</v>
      </c>
      <c r="E51" s="350">
        <f>'[3]P&amp;A'!E31</f>
        <v>3000</v>
      </c>
      <c r="F51" s="761">
        <f>'P&amp;A-Yr3'!F31</f>
        <v>250</v>
      </c>
      <c r="G51" s="761">
        <f>'P&amp;A-Yr3'!G31</f>
        <v>250</v>
      </c>
      <c r="H51" s="761">
        <f>'P&amp;A-Yr3'!H31</f>
        <v>250</v>
      </c>
      <c r="I51" s="761">
        <f>'P&amp;A-Yr3'!I31</f>
        <v>250</v>
      </c>
      <c r="J51" s="761">
        <f>'P&amp;A-Yr3'!J31</f>
        <v>250</v>
      </c>
      <c r="K51" s="761">
        <f>'P&amp;A-Yr3'!K31</f>
        <v>250</v>
      </c>
      <c r="L51" s="761">
        <f>'P&amp;A-Yr3'!L31</f>
        <v>250</v>
      </c>
      <c r="M51" s="761">
        <f>'P&amp;A-Yr3'!M31</f>
        <v>250</v>
      </c>
      <c r="N51" s="761">
        <f>'P&amp;A-Yr3'!N31</f>
        <v>250</v>
      </c>
      <c r="O51" s="761">
        <f>'P&amp;A-Yr3'!O31</f>
        <v>250</v>
      </c>
      <c r="P51" s="761">
        <f>'P&amp;A-Yr3'!P31</f>
        <v>250</v>
      </c>
      <c r="Q51" s="761">
        <f>'P&amp;A-Yr3'!Q31</f>
        <v>250</v>
      </c>
    </row>
    <row r="52" spans="1:17" ht="10.5">
      <c r="A52" s="334" t="s">
        <v>32</v>
      </c>
      <c r="B52" s="334" t="s">
        <v>854</v>
      </c>
      <c r="C52" s="360" t="str">
        <f>'[3]Com'!C4</f>
        <v>Huambo</v>
      </c>
      <c r="D52" s="361" t="str">
        <f>'[3]Com'!D4</f>
        <v>Advocacy &amp; mobilization</v>
      </c>
      <c r="E52" s="352">
        <f>'[3]Com'!E4</f>
        <v>1500</v>
      </c>
      <c r="F52" s="351">
        <f>'Com-Yr3'!F4</f>
        <v>0</v>
      </c>
      <c r="G52" s="351">
        <f>'Com-Yr3'!G4</f>
        <v>1500</v>
      </c>
      <c r="H52" s="351">
        <f>'Com-Yr3'!H4</f>
        <v>0</v>
      </c>
      <c r="I52" s="351">
        <f>'Com-Yr3'!I4</f>
        <v>0</v>
      </c>
      <c r="J52" s="351">
        <f>'Com-Yr3'!J4</f>
        <v>0</v>
      </c>
      <c r="K52" s="351">
        <f>'Com-Yr3'!K4</f>
        <v>0</v>
      </c>
      <c r="L52" s="351">
        <f>'Com-Yr3'!L4</f>
        <v>0</v>
      </c>
      <c r="M52" s="351">
        <f>'Com-Yr3'!M4</f>
        <v>0</v>
      </c>
      <c r="N52" s="351">
        <f>'Com-Yr3'!N4</f>
        <v>0</v>
      </c>
      <c r="O52" s="351">
        <f>'Com-Yr3'!O4</f>
        <v>0</v>
      </c>
      <c r="P52" s="351">
        <f>'Com-Yr3'!P4</f>
        <v>0</v>
      </c>
      <c r="Q52" s="351">
        <f>'Com-Yr3'!Q4</f>
        <v>0</v>
      </c>
    </row>
    <row r="53" spans="1:17" ht="10.5">
      <c r="A53" s="334" t="s">
        <v>32</v>
      </c>
      <c r="B53" s="334" t="s">
        <v>854</v>
      </c>
      <c r="C53" s="360" t="str">
        <f>'[3]Com'!C5</f>
        <v>Uige</v>
      </c>
      <c r="D53" s="361" t="str">
        <f>'[3]Com'!D5</f>
        <v>Advocacy &amp; mobilization</v>
      </c>
      <c r="E53" s="352">
        <f>'[3]Com'!E5</f>
        <v>4500</v>
      </c>
      <c r="F53" s="351">
        <f>'Com-Yr3'!F5</f>
        <v>0</v>
      </c>
      <c r="G53" s="351">
        <f>'Com-Yr3'!G5</f>
        <v>0</v>
      </c>
      <c r="H53" s="351">
        <f>'Com-Yr3'!H5</f>
        <v>1500</v>
      </c>
      <c r="I53" s="351">
        <f>'Com-Yr3'!I5</f>
        <v>0</v>
      </c>
      <c r="J53" s="351">
        <f>'Com-Yr3'!J5</f>
        <v>1500</v>
      </c>
      <c r="K53" s="351">
        <f>'Com-Yr3'!K5</f>
        <v>0</v>
      </c>
      <c r="L53" s="351">
        <f>'Com-Yr3'!L5</f>
        <v>0</v>
      </c>
      <c r="M53" s="351">
        <f>'Com-Yr3'!M5</f>
        <v>0</v>
      </c>
      <c r="N53" s="351">
        <f>'Com-Yr3'!N5</f>
        <v>0</v>
      </c>
      <c r="O53" s="351">
        <f>'Com-Yr3'!O5</f>
        <v>0</v>
      </c>
      <c r="P53" s="351">
        <f>'Com-Yr3'!P5</f>
        <v>1500</v>
      </c>
      <c r="Q53" s="351">
        <f>'Com-Yr3'!Q5</f>
        <v>0</v>
      </c>
    </row>
    <row r="54" spans="1:17" ht="10.5">
      <c r="A54" s="334" t="s">
        <v>32</v>
      </c>
      <c r="B54" s="334" t="s">
        <v>854</v>
      </c>
      <c r="C54" s="360" t="str">
        <f>'[3]Com'!C6</f>
        <v>Zaire</v>
      </c>
      <c r="D54" s="361" t="str">
        <f>'[3]Com'!D6</f>
        <v>Advocacy &amp; mobilization</v>
      </c>
      <c r="E54" s="352">
        <f>'[3]Com'!E6</f>
        <v>1500</v>
      </c>
      <c r="F54" s="351">
        <f>'Com-Yr3'!F6</f>
        <v>0</v>
      </c>
      <c r="G54" s="351">
        <f>'Com-Yr3'!G6</f>
        <v>0</v>
      </c>
      <c r="H54" s="351">
        <f>'Com-Yr3'!H6</f>
        <v>0</v>
      </c>
      <c r="I54" s="351">
        <f>'Com-Yr3'!I6</f>
        <v>0</v>
      </c>
      <c r="J54" s="351">
        <f>'Com-Yr3'!J6</f>
        <v>1500</v>
      </c>
      <c r="K54" s="351">
        <f>'Com-Yr3'!K6</f>
        <v>0</v>
      </c>
      <c r="L54" s="351">
        <f>'Com-Yr3'!L6</f>
        <v>0</v>
      </c>
      <c r="M54" s="351">
        <f>'Com-Yr3'!M6</f>
        <v>0</v>
      </c>
      <c r="N54" s="351">
        <f>'Com-Yr3'!N6</f>
        <v>0</v>
      </c>
      <c r="O54" s="351">
        <f>'Com-Yr3'!O6</f>
        <v>0</v>
      </c>
      <c r="P54" s="351">
        <f>'Com-Yr3'!P6</f>
        <v>0</v>
      </c>
      <c r="Q54" s="351">
        <f>'Com-Yr3'!Q6</f>
        <v>0</v>
      </c>
    </row>
    <row r="55" spans="1:17" ht="10.5">
      <c r="A55" s="334" t="s">
        <v>32</v>
      </c>
      <c r="B55" s="334" t="s">
        <v>854</v>
      </c>
      <c r="C55" s="360" t="str">
        <f>'[3]Com'!C7</f>
        <v>Bie</v>
      </c>
      <c r="D55" s="361" t="str">
        <f>'[3]Com'!D7</f>
        <v>Advocacy &amp; mobilization</v>
      </c>
      <c r="E55" s="352">
        <f>'[3]Com'!E7</f>
        <v>1500</v>
      </c>
      <c r="F55" s="351">
        <f>'Com-Yr3'!F7</f>
        <v>0</v>
      </c>
      <c r="G55" s="351">
        <f>'Com-Yr3'!G7</f>
        <v>0</v>
      </c>
      <c r="H55" s="351">
        <f>'Com-Yr3'!H7</f>
        <v>0</v>
      </c>
      <c r="I55" s="351">
        <f>'Com-Yr3'!I7</f>
        <v>1500</v>
      </c>
      <c r="J55" s="351">
        <f>'Com-Yr3'!J7</f>
        <v>0</v>
      </c>
      <c r="K55" s="351">
        <f>'Com-Yr3'!K7</f>
        <v>0</v>
      </c>
      <c r="L55" s="351">
        <f>'Com-Yr3'!L7</f>
        <v>0</v>
      </c>
      <c r="M55" s="351">
        <f>'Com-Yr3'!M7</f>
        <v>0</v>
      </c>
      <c r="N55" s="351">
        <f>'Com-Yr3'!N7</f>
        <v>0</v>
      </c>
      <c r="O55" s="351">
        <f>'Com-Yr3'!O7</f>
        <v>0</v>
      </c>
      <c r="P55" s="351">
        <f>'Com-Yr3'!P7</f>
        <v>0</v>
      </c>
      <c r="Q55" s="351">
        <f>'Com-Yr3'!Q7</f>
        <v>0</v>
      </c>
    </row>
    <row r="56" spans="1:17" ht="10.5">
      <c r="A56" s="334" t="s">
        <v>32</v>
      </c>
      <c r="B56" s="334" t="s">
        <v>854</v>
      </c>
      <c r="C56" s="360" t="str">
        <f>'[3]Com'!C8</f>
        <v>Other</v>
      </c>
      <c r="D56" s="361" t="str">
        <f>'[3]Com'!D8</f>
        <v>Advocacy &amp; mobilization</v>
      </c>
      <c r="E56" s="352">
        <f>'[3]Com'!E8</f>
        <v>3000</v>
      </c>
      <c r="F56" s="351">
        <f>'Com-Yr3'!F8</f>
        <v>0</v>
      </c>
      <c r="G56" s="351">
        <f>'Com-Yr3'!G8</f>
        <v>0</v>
      </c>
      <c r="H56" s="351">
        <f>'Com-Yr3'!H8</f>
        <v>0</v>
      </c>
      <c r="I56" s="351">
        <f>'Com-Yr3'!I8</f>
        <v>0</v>
      </c>
      <c r="J56" s="351">
        <f>'Com-Yr3'!J8</f>
        <v>1500</v>
      </c>
      <c r="K56" s="351">
        <f>'Com-Yr3'!K8</f>
        <v>1500</v>
      </c>
      <c r="L56" s="351">
        <f>'Com-Yr3'!L8</f>
        <v>0</v>
      </c>
      <c r="M56" s="351">
        <f>'Com-Yr3'!M8</f>
        <v>0</v>
      </c>
      <c r="N56" s="351">
        <f>'Com-Yr3'!N8</f>
        <v>0</v>
      </c>
      <c r="O56" s="351">
        <f>'Com-Yr3'!O8</f>
        <v>0</v>
      </c>
      <c r="P56" s="351">
        <f>'Com-Yr3'!P8</f>
        <v>0</v>
      </c>
      <c r="Q56" s="351">
        <f>'Com-Yr3'!Q8</f>
        <v>0</v>
      </c>
    </row>
    <row r="57" spans="1:17" ht="10.5">
      <c r="A57" s="334" t="s">
        <v>32</v>
      </c>
      <c r="B57" s="334" t="s">
        <v>853</v>
      </c>
      <c r="C57" s="362" t="str">
        <f>'[3]Com'!C9</f>
        <v>Huambo</v>
      </c>
      <c r="D57" s="363" t="str">
        <f>'[3]Com'!D9</f>
        <v>IEC materials</v>
      </c>
      <c r="E57" s="352">
        <f>'[3]Com'!E9</f>
        <v>7830</v>
      </c>
      <c r="F57" s="760">
        <f>'Com-Yr3'!F9</f>
        <v>7830</v>
      </c>
      <c r="G57" s="760">
        <f>'Com-Yr3'!G9</f>
        <v>0</v>
      </c>
      <c r="H57" s="760">
        <f>'Com-Yr3'!H9</f>
        <v>0</v>
      </c>
      <c r="I57" s="760">
        <f>'Com-Yr3'!I9</f>
        <v>0</v>
      </c>
      <c r="J57" s="760">
        <f>'Com-Yr3'!J9</f>
        <v>0</v>
      </c>
      <c r="K57" s="760">
        <f>'Com-Yr3'!K9</f>
        <v>0</v>
      </c>
      <c r="L57" s="760">
        <f>'Com-Yr3'!L9</f>
        <v>0</v>
      </c>
      <c r="M57" s="760">
        <f>'Com-Yr3'!M9</f>
        <v>0</v>
      </c>
      <c r="N57" s="760">
        <f>'Com-Yr3'!N9</f>
        <v>0</v>
      </c>
      <c r="O57" s="760">
        <f>'Com-Yr3'!O9</f>
        <v>0</v>
      </c>
      <c r="P57" s="760">
        <f>'Com-Yr3'!P9</f>
        <v>0</v>
      </c>
      <c r="Q57" s="760">
        <f>'Com-Yr3'!Q9</f>
        <v>0</v>
      </c>
    </row>
    <row r="58" spans="1:17" ht="10.5">
      <c r="A58" s="334" t="s">
        <v>32</v>
      </c>
      <c r="B58" s="334" t="s">
        <v>853</v>
      </c>
      <c r="C58" s="362" t="str">
        <f>'[3]Com'!C10</f>
        <v>Uige</v>
      </c>
      <c r="D58" s="363" t="str">
        <f>'[3]Com'!D10</f>
        <v>IEC materials</v>
      </c>
      <c r="E58" s="352">
        <f>'[3]Com'!E10</f>
        <v>6720</v>
      </c>
      <c r="F58" s="760">
        <f>'Com-Yr3'!F10</f>
        <v>6720</v>
      </c>
      <c r="G58" s="760">
        <f>'Com-Yr3'!G10</f>
        <v>0</v>
      </c>
      <c r="H58" s="760">
        <f>'Com-Yr3'!H10</f>
        <v>0</v>
      </c>
      <c r="I58" s="760">
        <f>'Com-Yr3'!I10</f>
        <v>0</v>
      </c>
      <c r="J58" s="760">
        <f>'Com-Yr3'!J10</f>
        <v>0</v>
      </c>
      <c r="K58" s="760">
        <f>'Com-Yr3'!K10</f>
        <v>0</v>
      </c>
      <c r="L58" s="760">
        <f>'Com-Yr3'!L10</f>
        <v>0</v>
      </c>
      <c r="M58" s="760">
        <f>'Com-Yr3'!M10</f>
        <v>0</v>
      </c>
      <c r="N58" s="760">
        <f>'Com-Yr3'!N10</f>
        <v>0</v>
      </c>
      <c r="O58" s="760">
        <f>'Com-Yr3'!O10</f>
        <v>0</v>
      </c>
      <c r="P58" s="760">
        <f>'Com-Yr3'!P10</f>
        <v>0</v>
      </c>
      <c r="Q58" s="760">
        <f>'Com-Yr3'!Q10</f>
        <v>0</v>
      </c>
    </row>
    <row r="59" spans="1:17" ht="10.5">
      <c r="A59" s="334" t="s">
        <v>32</v>
      </c>
      <c r="B59" s="334" t="s">
        <v>853</v>
      </c>
      <c r="C59" s="362" t="str">
        <f>'[3]Com'!C11</f>
        <v>Zaire</v>
      </c>
      <c r="D59" s="363" t="str">
        <f>'[3]Com'!D11</f>
        <v>IEC materials</v>
      </c>
      <c r="E59" s="352">
        <f>'[3]Com'!E11</f>
        <v>3750</v>
      </c>
      <c r="F59" s="760">
        <f>'Com-Yr3'!F11</f>
        <v>3750</v>
      </c>
      <c r="G59" s="760">
        <f>'Com-Yr3'!G11</f>
        <v>0</v>
      </c>
      <c r="H59" s="760">
        <f>'Com-Yr3'!H11</f>
        <v>0</v>
      </c>
      <c r="I59" s="760">
        <f>'Com-Yr3'!I11</f>
        <v>0</v>
      </c>
      <c r="J59" s="760">
        <f>'Com-Yr3'!J11</f>
        <v>0</v>
      </c>
      <c r="K59" s="760">
        <f>'Com-Yr3'!K11</f>
        <v>0</v>
      </c>
      <c r="L59" s="760">
        <f>'Com-Yr3'!L11</f>
        <v>0</v>
      </c>
      <c r="M59" s="760">
        <f>'Com-Yr3'!M11</f>
        <v>0</v>
      </c>
      <c r="N59" s="760">
        <f>'Com-Yr3'!N11</f>
        <v>0</v>
      </c>
      <c r="O59" s="760">
        <f>'Com-Yr3'!O11</f>
        <v>0</v>
      </c>
      <c r="P59" s="760">
        <f>'Com-Yr3'!P11</f>
        <v>0</v>
      </c>
      <c r="Q59" s="760">
        <f>'Com-Yr3'!Q11</f>
        <v>0</v>
      </c>
    </row>
    <row r="60" spans="1:17" ht="10.5">
      <c r="A60" s="334" t="s">
        <v>57</v>
      </c>
      <c r="B60" s="334" t="s">
        <v>853</v>
      </c>
      <c r="C60" s="362" t="str">
        <f>'[3]Benef'!C4</f>
        <v>Huambo</v>
      </c>
      <c r="D60" s="363" t="str">
        <f>'[3]Benef'!D4</f>
        <v>Hygiene kits for schools</v>
      </c>
      <c r="E60" s="352">
        <f>'[3]Benef'!E4</f>
        <v>35865</v>
      </c>
      <c r="F60" s="760">
        <f>'Benef-Yr3'!F4</f>
        <v>0</v>
      </c>
      <c r="G60" s="760">
        <f>'Benef-Yr3'!G4</f>
        <v>0</v>
      </c>
      <c r="H60" s="760">
        <f>'Benef-Yr3'!H4</f>
        <v>5310</v>
      </c>
      <c r="I60" s="760">
        <f>'Benef-Yr3'!I4</f>
        <v>5310</v>
      </c>
      <c r="J60" s="760">
        <f>'Benef-Yr3'!J4</f>
        <v>2700</v>
      </c>
      <c r="K60" s="760">
        <f>'Benef-Yr3'!K4</f>
        <v>16830</v>
      </c>
      <c r="L60" s="760">
        <f>'Benef-Yr3'!L4</f>
        <v>2340</v>
      </c>
      <c r="M60" s="760">
        <f>'Benef-Yr3'!M4</f>
        <v>3375</v>
      </c>
      <c r="N60" s="760">
        <f>'Benef-Yr3'!N4</f>
        <v>0</v>
      </c>
      <c r="O60" s="760">
        <f>'Benef-Yr3'!O4</f>
        <v>0</v>
      </c>
      <c r="P60" s="760">
        <f>'Benef-Yr3'!P4</f>
        <v>0</v>
      </c>
      <c r="Q60" s="760">
        <f>'Benef-Yr3'!Q4</f>
        <v>0</v>
      </c>
    </row>
    <row r="61" spans="1:17" ht="10.5">
      <c r="A61" s="334" t="s">
        <v>57</v>
      </c>
      <c r="B61" s="334" t="s">
        <v>853</v>
      </c>
      <c r="C61" s="362" t="str">
        <f>'[3]Benef'!C5</f>
        <v>Uige</v>
      </c>
      <c r="D61" s="363" t="str">
        <f>'[3]Benef'!D5</f>
        <v>Hygiene kits for schools</v>
      </c>
      <c r="E61" s="352">
        <f>'[3]Benef'!E5</f>
        <v>22005</v>
      </c>
      <c r="F61" s="760">
        <f>'Benef-Yr3'!F5</f>
        <v>2520</v>
      </c>
      <c r="G61" s="760">
        <f>'Benef-Yr3'!G5</f>
        <v>855</v>
      </c>
      <c r="H61" s="760">
        <f>'Benef-Yr3'!H5</f>
        <v>0</v>
      </c>
      <c r="I61" s="760">
        <f>'Benef-Yr3'!I5</f>
        <v>1980</v>
      </c>
      <c r="J61" s="760">
        <f>'Benef-Yr3'!J5</f>
        <v>2475</v>
      </c>
      <c r="K61" s="760">
        <f>'Benef-Yr3'!K5</f>
        <v>0</v>
      </c>
      <c r="L61" s="760">
        <f>'Benef-Yr3'!L5</f>
        <v>1890</v>
      </c>
      <c r="M61" s="760">
        <f>'Benef-Yr3'!M5</f>
        <v>5265</v>
      </c>
      <c r="N61" s="760">
        <f>'Benef-Yr3'!N5</f>
        <v>3510</v>
      </c>
      <c r="O61" s="760">
        <f>'Benef-Yr3'!O5</f>
        <v>0</v>
      </c>
      <c r="P61" s="760">
        <f>'Benef-Yr3'!P5</f>
        <v>0</v>
      </c>
      <c r="Q61" s="760">
        <f>'Benef-Yr3'!Q5</f>
        <v>3510</v>
      </c>
    </row>
    <row r="62" spans="1:17" ht="10.5">
      <c r="A62" s="334" t="s">
        <v>57</v>
      </c>
      <c r="B62" s="334" t="s">
        <v>853</v>
      </c>
      <c r="C62" s="362" t="str">
        <f>'[3]Benef'!C6</f>
        <v>Zaire</v>
      </c>
      <c r="D62" s="363" t="str">
        <f>'[3]Benef'!D6</f>
        <v>Hygiene kits for schools</v>
      </c>
      <c r="E62" s="352">
        <f>'[3]Benef'!E6</f>
        <v>11610</v>
      </c>
      <c r="F62" s="760">
        <f>'Benef-Yr3'!F6</f>
        <v>2565</v>
      </c>
      <c r="G62" s="760">
        <f>'Benef-Yr3'!G6</f>
        <v>1440</v>
      </c>
      <c r="H62" s="760">
        <f>'Benef-Yr3'!H6</f>
        <v>1215</v>
      </c>
      <c r="I62" s="760">
        <f>'Benef-Yr3'!I6</f>
        <v>0</v>
      </c>
      <c r="J62" s="760">
        <f>'Benef-Yr3'!J6</f>
        <v>0</v>
      </c>
      <c r="K62" s="760">
        <f>'Benef-Yr3'!K6</f>
        <v>2610</v>
      </c>
      <c r="L62" s="760">
        <f>'Benef-Yr3'!L6</f>
        <v>0</v>
      </c>
      <c r="M62" s="760">
        <f>'Benef-Yr3'!M6</f>
        <v>2295</v>
      </c>
      <c r="N62" s="760">
        <f>'Benef-Yr3'!N6</f>
        <v>0</v>
      </c>
      <c r="O62" s="760">
        <f>'Benef-Yr3'!O6</f>
        <v>1485</v>
      </c>
      <c r="P62" s="760">
        <f>'Benef-Yr3'!P6</f>
        <v>0</v>
      </c>
      <c r="Q62" s="760">
        <f>'Benef-Yr3'!Q6</f>
        <v>0</v>
      </c>
    </row>
    <row r="63" spans="1:17" ht="10.5">
      <c r="A63" s="334" t="s">
        <v>57</v>
      </c>
      <c r="B63" s="334" t="s">
        <v>854</v>
      </c>
      <c r="C63" s="362" t="s">
        <v>522</v>
      </c>
      <c r="D63" s="363" t="str">
        <f>'[3]Benef'!D10</f>
        <v>Food for PZQ distribution</v>
      </c>
      <c r="E63" s="352">
        <f>'[3]Benef'!E7</f>
        <v>16625</v>
      </c>
      <c r="F63" s="760">
        <f>'Benef-Yr3'!F7</f>
        <v>0</v>
      </c>
      <c r="G63" s="760">
        <f>'Benef-Yr3'!G7</f>
        <v>16625</v>
      </c>
      <c r="H63" s="760">
        <f>'Benef-Yr3'!H7</f>
        <v>0</v>
      </c>
      <c r="I63" s="760">
        <f>'Benef-Yr3'!I7</f>
        <v>0</v>
      </c>
      <c r="J63" s="760">
        <f>'Benef-Yr3'!J7</f>
        <v>0</v>
      </c>
      <c r="K63" s="760">
        <f>'Benef-Yr3'!K7</f>
        <v>0</v>
      </c>
      <c r="L63" s="760">
        <f>'Benef-Yr3'!L7</f>
        <v>0</v>
      </c>
      <c r="M63" s="760">
        <f>'Benef-Yr3'!M7</f>
        <v>0</v>
      </c>
      <c r="N63" s="760">
        <f>'Benef-Yr3'!N7</f>
        <v>0</v>
      </c>
      <c r="O63" s="760">
        <f>'Benef-Yr3'!O7</f>
        <v>0</v>
      </c>
      <c r="P63" s="760">
        <f>'Benef-Yr3'!P7</f>
        <v>0</v>
      </c>
      <c r="Q63" s="760">
        <f>'Benef-Yr3'!Q7</f>
        <v>0</v>
      </c>
    </row>
    <row r="64" spans="1:17" ht="10.5">
      <c r="A64" s="334" t="s">
        <v>57</v>
      </c>
      <c r="B64" s="334" t="s">
        <v>854</v>
      </c>
      <c r="C64" s="362" t="s">
        <v>524</v>
      </c>
      <c r="D64" s="363" t="str">
        <f>'[3]Benef'!D7</f>
        <v>Food for PZQ distribution</v>
      </c>
      <c r="E64" s="352">
        <f>'[3]Benef'!E8</f>
        <v>6600</v>
      </c>
      <c r="F64" s="760">
        <f>'Benef-Yr3'!F8</f>
        <v>0</v>
      </c>
      <c r="G64" s="760">
        <f>'Benef-Yr3'!G8</f>
        <v>0</v>
      </c>
      <c r="H64" s="760">
        <f>'Benef-Yr3'!H8</f>
        <v>0</v>
      </c>
      <c r="I64" s="760">
        <f>'Benef-Yr3'!I8</f>
        <v>0</v>
      </c>
      <c r="J64" s="760">
        <f>'Benef-Yr3'!J8</f>
        <v>6600</v>
      </c>
      <c r="K64" s="760">
        <f>'Benef-Yr3'!K8</f>
        <v>0</v>
      </c>
      <c r="L64" s="760">
        <f>'Benef-Yr3'!L8</f>
        <v>0</v>
      </c>
      <c r="M64" s="760">
        <f>'Benef-Yr3'!M8</f>
        <v>0</v>
      </c>
      <c r="N64" s="760">
        <f>'Benef-Yr3'!N8</f>
        <v>0</v>
      </c>
      <c r="O64" s="760">
        <f>'Benef-Yr3'!O8</f>
        <v>0</v>
      </c>
      <c r="P64" s="760">
        <f>'Benef-Yr3'!P8</f>
        <v>0</v>
      </c>
      <c r="Q64" s="760">
        <f>'Benef-Yr3'!Q8</f>
        <v>0</v>
      </c>
    </row>
    <row r="65" spans="1:17" ht="10.5">
      <c r="A65" s="334" t="s">
        <v>57</v>
      </c>
      <c r="B65" s="334" t="s">
        <v>854</v>
      </c>
      <c r="C65" s="362" t="str">
        <f>'[3]Benef'!C9</f>
        <v>Zaire</v>
      </c>
      <c r="D65" s="363" t="str">
        <f>'[3]Benef'!D9</f>
        <v>Food for PZQ distribution</v>
      </c>
      <c r="E65" s="352">
        <f>'[3]Benef'!E9</f>
        <v>2275</v>
      </c>
      <c r="F65" s="760">
        <f>'Benef-Yr3'!F9</f>
        <v>0</v>
      </c>
      <c r="G65" s="760">
        <f>'Benef-Yr3'!G9</f>
        <v>0</v>
      </c>
      <c r="H65" s="760">
        <f>'Benef-Yr3'!H9</f>
        <v>0</v>
      </c>
      <c r="I65" s="760">
        <f>'Benef-Yr3'!I9</f>
        <v>2275</v>
      </c>
      <c r="J65" s="760">
        <f>'Benef-Yr3'!J9</f>
        <v>0</v>
      </c>
      <c r="K65" s="760">
        <f>'Benef-Yr3'!K9</f>
        <v>0</v>
      </c>
      <c r="L65" s="760">
        <f>'Benef-Yr3'!L9</f>
        <v>0</v>
      </c>
      <c r="M65" s="760">
        <f>'Benef-Yr3'!M9</f>
        <v>0</v>
      </c>
      <c r="N65" s="760">
        <f>'Benef-Yr3'!N9</f>
        <v>0</v>
      </c>
      <c r="O65" s="760">
        <f>'Benef-Yr3'!O9</f>
        <v>0</v>
      </c>
      <c r="P65" s="760">
        <f>'Benef-Yr3'!P9</f>
        <v>0</v>
      </c>
      <c r="Q65" s="760">
        <f>'Benef-Yr3'!Q9</f>
        <v>0</v>
      </c>
    </row>
    <row r="66" spans="1:17" ht="10.5">
      <c r="A66" s="334" t="s">
        <v>57</v>
      </c>
      <c r="B66" s="334" t="s">
        <v>854</v>
      </c>
      <c r="C66" s="362" t="s">
        <v>1263</v>
      </c>
      <c r="D66" s="363" t="str">
        <f>'[3]Benef'!D9</f>
        <v>Food for PZQ distribution</v>
      </c>
      <c r="E66" s="352">
        <f>'[3]Benef'!E10</f>
        <v>20000</v>
      </c>
      <c r="F66" s="760">
        <f>'Benef-Yr3'!F10</f>
        <v>0</v>
      </c>
      <c r="G66" s="760">
        <f>'Benef-Yr3'!G10</f>
        <v>0</v>
      </c>
      <c r="H66" s="760">
        <f>'Benef-Yr3'!H10</f>
        <v>0</v>
      </c>
      <c r="I66" s="760">
        <f>'Benef-Yr3'!I10</f>
        <v>0</v>
      </c>
      <c r="J66" s="760">
        <f>'Benef-Yr3'!J10</f>
        <v>20000</v>
      </c>
      <c r="K66" s="760">
        <f>'Benef-Yr3'!K10</f>
        <v>0</v>
      </c>
      <c r="L66" s="760">
        <f>'Benef-Yr3'!L10</f>
        <v>0</v>
      </c>
      <c r="M66" s="760">
        <f>'Benef-Yr3'!M10</f>
        <v>0</v>
      </c>
      <c r="N66" s="760">
        <f>'Benef-Yr3'!N10</f>
        <v>0</v>
      </c>
      <c r="O66" s="760">
        <f>'Benef-Yr3'!O10</f>
        <v>0</v>
      </c>
      <c r="P66" s="760">
        <f>'Benef-Yr3'!P10</f>
        <v>0</v>
      </c>
      <c r="Q66" s="760">
        <f>'Benef-Yr3'!Q10</f>
        <v>0</v>
      </c>
    </row>
    <row r="67" spans="1:17" ht="10.5">
      <c r="A67" s="334" t="s">
        <v>28</v>
      </c>
      <c r="B67" s="334" t="s">
        <v>854</v>
      </c>
      <c r="C67" s="362" t="str">
        <f>'[3]Training'!C4</f>
        <v>Huambo</v>
      </c>
      <c r="D67" s="365" t="str">
        <f>'[3]Training'!D4</f>
        <v>MDA training</v>
      </c>
      <c r="E67" s="366">
        <f>'[3]Training'!E4</f>
        <v>4000</v>
      </c>
      <c r="F67" s="760">
        <f>'Training-Yr3'!F4</f>
        <v>0</v>
      </c>
      <c r="G67" s="760">
        <f>'Training-Yr3'!G4</f>
        <v>4000</v>
      </c>
      <c r="H67" s="760">
        <f>'Training-Yr3'!H4</f>
        <v>0</v>
      </c>
      <c r="I67" s="760">
        <f>'Training-Yr3'!I4</f>
        <v>0</v>
      </c>
      <c r="J67" s="760">
        <f>'Training-Yr3'!J4</f>
        <v>0</v>
      </c>
      <c r="K67" s="760">
        <f>'Training-Yr3'!K4</f>
        <v>0</v>
      </c>
      <c r="L67" s="760">
        <f>'Training-Yr3'!L4</f>
        <v>0</v>
      </c>
      <c r="M67" s="760">
        <f>'Training-Yr3'!M4</f>
        <v>0</v>
      </c>
      <c r="N67" s="760">
        <f>'Training-Yr3'!N4</f>
        <v>0</v>
      </c>
      <c r="O67" s="760">
        <f>'Training-Yr3'!O4</f>
        <v>0</v>
      </c>
      <c r="P67" s="760">
        <f>'Training-Yr3'!P4</f>
        <v>0</v>
      </c>
      <c r="Q67" s="760">
        <f>'Training-Yr3'!Q4</f>
        <v>0</v>
      </c>
    </row>
    <row r="68" spans="1:17" ht="10.5">
      <c r="A68" s="334" t="s">
        <v>28</v>
      </c>
      <c r="B68" s="334" t="s">
        <v>854</v>
      </c>
      <c r="C68" s="362" t="str">
        <f>'[3]Training'!C5</f>
        <v>Uige</v>
      </c>
      <c r="D68" s="365" t="str">
        <f>'[3]Training'!D5</f>
        <v>MDA training</v>
      </c>
      <c r="E68" s="366">
        <f>'[3]Training'!E5</f>
        <v>43750</v>
      </c>
      <c r="F68" s="760">
        <f>'Training-Yr3'!F5</f>
        <v>0</v>
      </c>
      <c r="G68" s="760">
        <f>'Training-Yr3'!G5</f>
        <v>0</v>
      </c>
      <c r="H68" s="760">
        <f>'Training-Yr3'!H5</f>
        <v>6250</v>
      </c>
      <c r="I68" s="760">
        <f>'Training-Yr3'!I5</f>
        <v>0</v>
      </c>
      <c r="J68" s="760">
        <f>'Training-Yr3'!J5</f>
        <v>31250</v>
      </c>
      <c r="K68" s="760">
        <f>'Training-Yr3'!K5</f>
        <v>0</v>
      </c>
      <c r="L68" s="760">
        <f>'Training-Yr3'!L5</f>
        <v>0</v>
      </c>
      <c r="M68" s="760">
        <f>'Training-Yr3'!M5</f>
        <v>0</v>
      </c>
      <c r="N68" s="760">
        <f>'Training-Yr3'!N5</f>
        <v>0</v>
      </c>
      <c r="O68" s="760">
        <f>'Training-Yr3'!O5</f>
        <v>0</v>
      </c>
      <c r="P68" s="760">
        <f>'Training-Yr3'!P5</f>
        <v>6250</v>
      </c>
      <c r="Q68" s="760">
        <f>'Training-Yr3'!Q5</f>
        <v>0</v>
      </c>
    </row>
    <row r="69" spans="1:17" ht="10.5">
      <c r="A69" s="334" t="s">
        <v>28</v>
      </c>
      <c r="B69" s="334" t="s">
        <v>854</v>
      </c>
      <c r="C69" s="362" t="str">
        <f>'[3]Training'!C6</f>
        <v>Zaire</v>
      </c>
      <c r="D69" s="365" t="str">
        <f>'[3]Training'!D6</f>
        <v>MDA training</v>
      </c>
      <c r="E69" s="366">
        <f>'[3]Training'!E6</f>
        <v>4300</v>
      </c>
      <c r="F69" s="760">
        <f>'Training-Yr3'!F6</f>
        <v>0</v>
      </c>
      <c r="G69" s="760">
        <f>'Training-Yr3'!G6</f>
        <v>0</v>
      </c>
      <c r="H69" s="760">
        <f>'Training-Yr3'!H6</f>
        <v>0</v>
      </c>
      <c r="I69" s="760">
        <f>'Training-Yr3'!I6</f>
        <v>4300</v>
      </c>
      <c r="J69" s="760">
        <f>'Training-Yr3'!J6</f>
        <v>0</v>
      </c>
      <c r="K69" s="760">
        <f>'Training-Yr3'!K6</f>
        <v>0</v>
      </c>
      <c r="L69" s="760">
        <f>'Training-Yr3'!L6</f>
        <v>0</v>
      </c>
      <c r="M69" s="760">
        <f>'Training-Yr3'!M6</f>
        <v>0</v>
      </c>
      <c r="N69" s="760">
        <f>'Training-Yr3'!N6</f>
        <v>0</v>
      </c>
      <c r="O69" s="760">
        <f>'Training-Yr3'!O6</f>
        <v>0</v>
      </c>
      <c r="P69" s="760">
        <f>'Training-Yr3'!P6</f>
        <v>0</v>
      </c>
      <c r="Q69" s="760">
        <f>'Training-Yr3'!Q6</f>
        <v>0</v>
      </c>
    </row>
    <row r="70" spans="1:17" ht="10.5">
      <c r="A70" s="334" t="s">
        <v>28</v>
      </c>
      <c r="B70" s="334" t="s">
        <v>854</v>
      </c>
      <c r="C70" s="362" t="str">
        <f>'[3]Training'!C7</f>
        <v>Bie</v>
      </c>
      <c r="D70" s="365" t="str">
        <f>'[3]Training'!D7</f>
        <v>MDA training</v>
      </c>
      <c r="E70" s="366">
        <f>'[3]Training'!E7</f>
        <v>5500</v>
      </c>
      <c r="F70" s="760">
        <f>'Training-Yr3'!F7</f>
        <v>0</v>
      </c>
      <c r="G70" s="760">
        <f>'Training-Yr3'!G7</f>
        <v>0</v>
      </c>
      <c r="H70" s="760">
        <f>'Training-Yr3'!H7</f>
        <v>0</v>
      </c>
      <c r="I70" s="760">
        <f>'Training-Yr3'!I7</f>
        <v>0</v>
      </c>
      <c r="J70" s="760">
        <f>'Training-Yr3'!J7</f>
        <v>5500</v>
      </c>
      <c r="K70" s="760">
        <f>'Training-Yr3'!K7</f>
        <v>0</v>
      </c>
      <c r="L70" s="760">
        <f>'Training-Yr3'!L7</f>
        <v>0</v>
      </c>
      <c r="M70" s="760">
        <f>'Training-Yr3'!M7</f>
        <v>0</v>
      </c>
      <c r="N70" s="760">
        <f>'Training-Yr3'!N7</f>
        <v>0</v>
      </c>
      <c r="O70" s="760">
        <f>'Training-Yr3'!O7</f>
        <v>0</v>
      </c>
      <c r="P70" s="760">
        <f>'Training-Yr3'!P7</f>
        <v>0</v>
      </c>
      <c r="Q70" s="760">
        <f>'Training-Yr3'!Q7</f>
        <v>0</v>
      </c>
    </row>
    <row r="71" spans="1:17" ht="10.5">
      <c r="A71" s="334" t="s">
        <v>28</v>
      </c>
      <c r="B71" s="334" t="s">
        <v>854</v>
      </c>
      <c r="C71" s="362" t="str">
        <f>'[3]Training'!C8</f>
        <v>Other</v>
      </c>
      <c r="D71" s="365" t="str">
        <f>'[3]Training'!D8</f>
        <v>MDA training</v>
      </c>
      <c r="E71" s="366">
        <f>'[3]Training'!E8</f>
        <v>34500</v>
      </c>
      <c r="F71" s="760">
        <f>'Training-Yr3'!F8</f>
        <v>0</v>
      </c>
      <c r="G71" s="760">
        <f>'Training-Yr3'!G8</f>
        <v>0</v>
      </c>
      <c r="H71" s="760">
        <f>'Training-Yr3'!H8</f>
        <v>0</v>
      </c>
      <c r="I71" s="760">
        <f>'Training-Yr3'!I8</f>
        <v>0</v>
      </c>
      <c r="J71" s="760">
        <f>'Training-Yr3'!J8</f>
        <v>29750</v>
      </c>
      <c r="K71" s="760">
        <f>'Training-Yr3'!K8</f>
        <v>4750</v>
      </c>
      <c r="L71" s="760">
        <f>'Training-Yr3'!L8</f>
        <v>0</v>
      </c>
      <c r="M71" s="760">
        <f>'Training-Yr3'!M8</f>
        <v>0</v>
      </c>
      <c r="N71" s="760">
        <f>'Training-Yr3'!N8</f>
        <v>0</v>
      </c>
      <c r="O71" s="760">
        <f>'Training-Yr3'!O8</f>
        <v>0</v>
      </c>
      <c r="P71" s="760">
        <f>'Training-Yr3'!P8</f>
        <v>0</v>
      </c>
      <c r="Q71" s="760">
        <f>'Training-Yr3'!Q8</f>
        <v>0</v>
      </c>
    </row>
    <row r="72" spans="1:17" ht="10.5">
      <c r="A72" s="334" t="s">
        <v>28</v>
      </c>
      <c r="B72" s="334" t="s">
        <v>48</v>
      </c>
      <c r="C72" s="362" t="str">
        <f>'[3]Training'!C12</f>
        <v>Huambo</v>
      </c>
      <c r="D72" s="365" t="str">
        <f>'[3]Training'!D12</f>
        <v>Training HF staff</v>
      </c>
      <c r="E72" s="366">
        <f>'[3]Training'!E12</f>
        <v>24900</v>
      </c>
      <c r="F72" s="760">
        <f>'Training-Yr3'!F12</f>
        <v>0</v>
      </c>
      <c r="G72" s="760">
        <f>'Training-Yr3'!G12</f>
        <v>0</v>
      </c>
      <c r="H72" s="760">
        <f>'Training-Yr3'!H12</f>
        <v>0</v>
      </c>
      <c r="I72" s="760">
        <f>'Training-Yr3'!I12</f>
        <v>5500</v>
      </c>
      <c r="J72" s="760">
        <f>'Training-Yr3'!J12</f>
        <v>3250</v>
      </c>
      <c r="K72" s="760">
        <f>'Training-Yr3'!K12</f>
        <v>10750</v>
      </c>
      <c r="L72" s="760">
        <f>'Training-Yr3'!L12</f>
        <v>2450</v>
      </c>
      <c r="M72" s="760">
        <f>'Training-Yr3'!M12</f>
        <v>2950</v>
      </c>
      <c r="N72" s="760">
        <f>'Training-Yr3'!N12</f>
        <v>0</v>
      </c>
      <c r="O72" s="760">
        <f>'Training-Yr3'!O12</f>
        <v>0</v>
      </c>
      <c r="P72" s="760">
        <f>'Training-Yr3'!P12</f>
        <v>0</v>
      </c>
      <c r="Q72" s="760">
        <f>'Training-Yr3'!Q12</f>
        <v>0</v>
      </c>
    </row>
    <row r="73" spans="1:17" ht="10.5">
      <c r="A73" s="334" t="s">
        <v>28</v>
      </c>
      <c r="B73" s="334" t="s">
        <v>48</v>
      </c>
      <c r="C73" s="362" t="str">
        <f>'[3]Training'!C13</f>
        <v>Uige</v>
      </c>
      <c r="D73" s="365" t="str">
        <f>'[3]Training'!D13</f>
        <v>Training HF staff</v>
      </c>
      <c r="E73" s="366">
        <f>'[3]Training'!E13</f>
        <v>40850</v>
      </c>
      <c r="F73" s="760">
        <f>'Training-Yr3'!F13</f>
        <v>4950</v>
      </c>
      <c r="G73" s="760">
        <f>'Training-Yr3'!G13</f>
        <v>5150</v>
      </c>
      <c r="H73" s="760">
        <f>'Training-Yr3'!H13</f>
        <v>0</v>
      </c>
      <c r="I73" s="760">
        <f>'Training-Yr3'!I13</f>
        <v>6350</v>
      </c>
      <c r="J73" s="760">
        <f>'Training-Yr3'!J13</f>
        <v>3500</v>
      </c>
      <c r="K73" s="760">
        <f>'Training-Yr3'!K13</f>
        <v>0</v>
      </c>
      <c r="L73" s="760">
        <f>'Training-Yr3'!L13</f>
        <v>3300</v>
      </c>
      <c r="M73" s="760">
        <f>'Training-Yr3'!M13</f>
        <v>6700</v>
      </c>
      <c r="N73" s="760">
        <f>'Training-Yr3'!N13</f>
        <v>6200</v>
      </c>
      <c r="O73" s="760">
        <f>'Training-Yr3'!O13</f>
        <v>0</v>
      </c>
      <c r="P73" s="760">
        <f>'Training-Yr3'!P13</f>
        <v>0</v>
      </c>
      <c r="Q73" s="760">
        <f>'Training-Yr3'!Q13</f>
        <v>4700</v>
      </c>
    </row>
    <row r="74" spans="1:17" ht="10.5">
      <c r="A74" s="334" t="s">
        <v>28</v>
      </c>
      <c r="B74" s="334" t="s">
        <v>48</v>
      </c>
      <c r="C74" s="362" t="str">
        <f>'[3]Training'!C14</f>
        <v>Zaire</v>
      </c>
      <c r="D74" s="368" t="str">
        <f>'[3]Training'!D14</f>
        <v>Training HF staff</v>
      </c>
      <c r="E74" s="369">
        <f>'[3]Training'!E14</f>
        <v>29000</v>
      </c>
      <c r="F74" s="762">
        <f>'Training-Yr3'!F14</f>
        <v>0</v>
      </c>
      <c r="G74" s="762">
        <f>'Training-Yr3'!G14</f>
        <v>5100</v>
      </c>
      <c r="H74" s="762">
        <f>'Training-Yr3'!H14</f>
        <v>3700</v>
      </c>
      <c r="I74" s="762">
        <f>'Training-Yr3'!I14</f>
        <v>0</v>
      </c>
      <c r="J74" s="762">
        <f>'Training-Yr3'!J14</f>
        <v>0</v>
      </c>
      <c r="K74" s="762">
        <f>'Training-Yr3'!K14</f>
        <v>4400</v>
      </c>
      <c r="L74" s="762">
        <f>'Training-Yr3'!L14</f>
        <v>4400</v>
      </c>
      <c r="M74" s="762">
        <f>'Training-Yr3'!M14</f>
        <v>4400</v>
      </c>
      <c r="N74" s="762">
        <f>'Training-Yr3'!N14</f>
        <v>0</v>
      </c>
      <c r="O74" s="762">
        <f>'Training-Yr3'!O14</f>
        <v>0</v>
      </c>
      <c r="P74" s="762">
        <f>'Training-Yr3'!P14</f>
        <v>7000</v>
      </c>
      <c r="Q74" s="762">
        <f>'Training-Yr3'!Q14</f>
        <v>0</v>
      </c>
    </row>
    <row r="75" spans="1:17" ht="10.5">
      <c r="A75" s="334" t="s">
        <v>28</v>
      </c>
      <c r="B75" s="334" t="s">
        <v>853</v>
      </c>
      <c r="C75" s="362" t="str">
        <f>'[3]Training'!C15</f>
        <v>Huambo</v>
      </c>
      <c r="D75" s="365" t="str">
        <f>'[3]Training'!D15</f>
        <v>Training teachers</v>
      </c>
      <c r="E75" s="366">
        <f>'[3]Training'!E15</f>
        <v>83200</v>
      </c>
      <c r="F75" s="760">
        <f>'Training-Yr3'!F15</f>
        <v>0</v>
      </c>
      <c r="G75" s="760">
        <f>'Training-Yr3'!G15</f>
        <v>0</v>
      </c>
      <c r="H75" s="760">
        <f>'Training-Yr3'!H15</f>
        <v>16000</v>
      </c>
      <c r="I75" s="760">
        <f>'Training-Yr3'!I15</f>
        <v>16000</v>
      </c>
      <c r="J75" s="760">
        <f>'Training-Yr3'!J15</f>
        <v>8600</v>
      </c>
      <c r="K75" s="760">
        <f>'Training-Yr3'!K15</f>
        <v>24900</v>
      </c>
      <c r="L75" s="760">
        <f>'Training-Yr3'!L15</f>
        <v>7600</v>
      </c>
      <c r="M75" s="760">
        <f>'Training-Yr3'!M15</f>
        <v>10100</v>
      </c>
      <c r="N75" s="760">
        <f>'Training-Yr3'!N15</f>
        <v>0</v>
      </c>
      <c r="O75" s="760">
        <f>'Training-Yr3'!O15</f>
        <v>0</v>
      </c>
      <c r="P75" s="760">
        <f>'Training-Yr3'!P15</f>
        <v>0</v>
      </c>
      <c r="Q75" s="760">
        <f>'Training-Yr3'!Q15</f>
        <v>0</v>
      </c>
    </row>
    <row r="76" spans="1:17" ht="10.5">
      <c r="A76" s="334" t="s">
        <v>28</v>
      </c>
      <c r="B76" s="334" t="s">
        <v>853</v>
      </c>
      <c r="C76" s="362" t="str">
        <f>'[3]Training'!C16</f>
        <v>Uige</v>
      </c>
      <c r="D76" s="365" t="str">
        <f>'[3]Training'!D16</f>
        <v>Training teachers</v>
      </c>
      <c r="E76" s="366">
        <f>'[3]Training'!E16</f>
        <v>82700</v>
      </c>
      <c r="F76" s="760">
        <f>'Training-Yr3'!F16</f>
        <v>8200</v>
      </c>
      <c r="G76" s="760">
        <f>'Training-Yr3'!G16</f>
        <v>4400</v>
      </c>
      <c r="H76" s="760">
        <f>'Training-Yr3'!H16</f>
        <v>0</v>
      </c>
      <c r="I76" s="760">
        <f>'Training-Yr3'!I16</f>
        <v>8900</v>
      </c>
      <c r="J76" s="760">
        <f>'Training-Yr3'!J16</f>
        <v>7900</v>
      </c>
      <c r="K76" s="760">
        <f>'Training-Yr3'!K16</f>
        <v>0</v>
      </c>
      <c r="L76" s="760">
        <f>'Training-Yr3'!L16</f>
        <v>6500</v>
      </c>
      <c r="M76" s="760">
        <f>'Training-Yr3'!M16</f>
        <v>19800</v>
      </c>
      <c r="N76" s="760">
        <f>'Training-Yr3'!N16</f>
        <v>13600</v>
      </c>
      <c r="O76" s="760">
        <f>'Training-Yr3'!O16</f>
        <v>0</v>
      </c>
      <c r="P76" s="760">
        <f>'Training-Yr3'!P16</f>
        <v>0</v>
      </c>
      <c r="Q76" s="760">
        <f>'Training-Yr3'!Q16</f>
        <v>13400</v>
      </c>
    </row>
    <row r="77" spans="1:17" ht="10.5">
      <c r="A77" s="334" t="s">
        <v>28</v>
      </c>
      <c r="B77" s="334" t="s">
        <v>853</v>
      </c>
      <c r="C77" s="362" t="str">
        <f>'[3]Training'!C17</f>
        <v>Zaire</v>
      </c>
      <c r="D77" s="365" t="str">
        <f>'[3]Training'!D17</f>
        <v>Training teachers</v>
      </c>
      <c r="E77" s="366">
        <f>'[3]Training'!E17</f>
        <v>49900</v>
      </c>
      <c r="F77" s="760">
        <f>'Training-Yr3'!F17</f>
        <v>0</v>
      </c>
      <c r="G77" s="760">
        <f>'Training-Yr3'!G17</f>
        <v>5100</v>
      </c>
      <c r="H77" s="760">
        <f>'Training-Yr3'!H17</f>
        <v>6500</v>
      </c>
      <c r="I77" s="760">
        <f>'Training-Yr3'!I17</f>
        <v>0</v>
      </c>
      <c r="J77" s="760">
        <f>'Training-Yr3'!J17</f>
        <v>0</v>
      </c>
      <c r="K77" s="760">
        <f>'Training-Yr3'!K17</f>
        <v>5800</v>
      </c>
      <c r="L77" s="760">
        <f>'Training-Yr3'!L17</f>
        <v>10700</v>
      </c>
      <c r="M77" s="760">
        <f>'Training-Yr3'!M17</f>
        <v>9900</v>
      </c>
      <c r="N77" s="760">
        <f>'Training-Yr3'!N17</f>
        <v>0</v>
      </c>
      <c r="O77" s="760">
        <f>'Training-Yr3'!O17</f>
        <v>0</v>
      </c>
      <c r="P77" s="760">
        <f>'Training-Yr3'!P17</f>
        <v>11900</v>
      </c>
      <c r="Q77" s="760">
        <f>'Training-Yr3'!Q17</f>
        <v>0</v>
      </c>
    </row>
    <row r="78" spans="1:17" ht="10.5">
      <c r="A78" s="334" t="s">
        <v>28</v>
      </c>
      <c r="B78" s="334" t="s">
        <v>48</v>
      </c>
      <c r="C78" s="386" t="s">
        <v>1289</v>
      </c>
      <c r="D78" s="387" t="s">
        <v>1290</v>
      </c>
      <c r="E78" s="352">
        <f>SUM(F78:Q78)</f>
        <v>5000</v>
      </c>
      <c r="F78" s="351">
        <f>'Training-Yr3'!F21</f>
        <v>0</v>
      </c>
      <c r="G78" s="351">
        <f>'Training-Yr3'!G21</f>
        <v>0</v>
      </c>
      <c r="H78" s="351">
        <f>'Training-Yr3'!H21</f>
        <v>0</v>
      </c>
      <c r="I78" s="351">
        <f>'Training-Yr3'!I21</f>
        <v>0</v>
      </c>
      <c r="J78" s="351">
        <f>'Training-Yr3'!J21</f>
        <v>0</v>
      </c>
      <c r="K78" s="388">
        <f>'Training-Yr3'!K21</f>
        <v>5000</v>
      </c>
      <c r="L78" s="351">
        <f>'Training-Yr3'!L21</f>
        <v>0</v>
      </c>
      <c r="M78" s="351">
        <f>'Training-Yr3'!M21</f>
        <v>0</v>
      </c>
      <c r="N78" s="351">
        <f>'Training-Yr3'!N21</f>
        <v>0</v>
      </c>
      <c r="O78" s="351">
        <f>'Training-Yr3'!O21</f>
        <v>0</v>
      </c>
      <c r="P78" s="351">
        <f>'Training-Yr3'!P21</f>
        <v>0</v>
      </c>
      <c r="Q78" s="351">
        <f>'Training-Yr3'!Q21</f>
        <v>0</v>
      </c>
    </row>
    <row r="79" spans="1:17" ht="10.5">
      <c r="A79" s="334" t="s">
        <v>28</v>
      </c>
      <c r="B79" s="334" t="s">
        <v>48</v>
      </c>
      <c r="C79" s="389" t="s">
        <v>522</v>
      </c>
      <c r="D79" s="365" t="s">
        <v>1291</v>
      </c>
      <c r="E79" s="352">
        <f>SUM(F79:Q79)</f>
        <v>3500</v>
      </c>
      <c r="F79" s="760">
        <f>'Training-Yr3'!F22</f>
        <v>0</v>
      </c>
      <c r="G79" s="760">
        <f>'Training-Yr3'!G22</f>
        <v>0</v>
      </c>
      <c r="H79" s="760">
        <f>'Training-Yr3'!H22</f>
        <v>0</v>
      </c>
      <c r="I79" s="760">
        <f>'Training-Yr3'!I22</f>
        <v>3500</v>
      </c>
      <c r="J79" s="760">
        <f>'Training-Yr3'!J22</f>
        <v>0</v>
      </c>
      <c r="K79" s="760">
        <f>'Training-Yr3'!K22</f>
        <v>0</v>
      </c>
      <c r="L79" s="760">
        <f>'Training-Yr3'!L22</f>
        <v>0</v>
      </c>
      <c r="M79" s="760">
        <f>'Training-Yr3'!M22</f>
        <v>0</v>
      </c>
      <c r="N79" s="760">
        <f>'Training-Yr3'!N22</f>
        <v>0</v>
      </c>
      <c r="O79" s="760">
        <f>'Training-Yr3'!O22</f>
        <v>0</v>
      </c>
      <c r="P79" s="760">
        <f>'Training-Yr3'!P22</f>
        <v>0</v>
      </c>
      <c r="Q79" s="760">
        <f>'Training-Yr3'!Q22</f>
        <v>0</v>
      </c>
    </row>
    <row r="80" spans="1:17" ht="10.5">
      <c r="A80" s="334" t="s">
        <v>28</v>
      </c>
      <c r="B80" s="334" t="s">
        <v>48</v>
      </c>
      <c r="C80" s="389" t="s">
        <v>524</v>
      </c>
      <c r="D80" s="365" t="s">
        <v>1291</v>
      </c>
      <c r="E80" s="352">
        <f>SUM(F80:Q80)</f>
        <v>3500</v>
      </c>
      <c r="F80" s="760">
        <f>'Training-Yr3'!F23</f>
        <v>0</v>
      </c>
      <c r="G80" s="760">
        <f>'Training-Yr3'!G23</f>
        <v>0</v>
      </c>
      <c r="H80" s="760">
        <f>'Training-Yr3'!H23</f>
        <v>0</v>
      </c>
      <c r="I80" s="760">
        <f>'Training-Yr3'!I23</f>
        <v>0</v>
      </c>
      <c r="J80" s="760">
        <f>'Training-Yr3'!J23</f>
        <v>0</v>
      </c>
      <c r="K80" s="760">
        <f>'Training-Yr3'!K23</f>
        <v>3500</v>
      </c>
      <c r="L80" s="760">
        <f>'Training-Yr3'!L23</f>
        <v>0</v>
      </c>
      <c r="M80" s="760">
        <f>'Training-Yr3'!M23</f>
        <v>0</v>
      </c>
      <c r="N80" s="760">
        <f>'Training-Yr3'!N23</f>
        <v>0</v>
      </c>
      <c r="O80" s="760">
        <f>'Training-Yr3'!O23</f>
        <v>0</v>
      </c>
      <c r="P80" s="760">
        <f>'Training-Yr3'!P23</f>
        <v>0</v>
      </c>
      <c r="Q80" s="760">
        <f>'Training-Yr3'!Q23</f>
        <v>0</v>
      </c>
    </row>
    <row r="81" spans="1:17" ht="10.5">
      <c r="A81" s="334" t="s">
        <v>28</v>
      </c>
      <c r="B81" s="334" t="s">
        <v>48</v>
      </c>
      <c r="C81" s="389" t="s">
        <v>526</v>
      </c>
      <c r="D81" s="365" t="s">
        <v>1291</v>
      </c>
      <c r="E81" s="352">
        <f>SUM(F81:Q81)</f>
        <v>3500</v>
      </c>
      <c r="F81" s="760">
        <f>'Training-Yr3'!F24</f>
        <v>0</v>
      </c>
      <c r="G81" s="760">
        <f>'Training-Yr3'!G24</f>
        <v>0</v>
      </c>
      <c r="H81" s="760">
        <f>'Training-Yr3'!H24</f>
        <v>0</v>
      </c>
      <c r="I81" s="760">
        <f>'Training-Yr3'!I24</f>
        <v>0</v>
      </c>
      <c r="J81" s="760">
        <f>'Training-Yr3'!J24</f>
        <v>0</v>
      </c>
      <c r="K81" s="760">
        <f>'Training-Yr3'!K24</f>
        <v>0</v>
      </c>
      <c r="L81" s="760">
        <f>'Training-Yr3'!L24</f>
        <v>3500</v>
      </c>
      <c r="M81" s="760">
        <f>'Training-Yr3'!M24</f>
        <v>0</v>
      </c>
      <c r="N81" s="760">
        <f>'Training-Yr3'!N24</f>
        <v>0</v>
      </c>
      <c r="O81" s="760">
        <f>'Training-Yr3'!O24</f>
        <v>0</v>
      </c>
      <c r="P81" s="760">
        <f>'Training-Yr3'!P24</f>
        <v>0</v>
      </c>
      <c r="Q81" s="760">
        <f>'Training-Yr3'!Q24</f>
        <v>0</v>
      </c>
    </row>
    <row r="82" spans="1:17" ht="10.5">
      <c r="A82" s="334" t="s">
        <v>28</v>
      </c>
      <c r="B82" s="334" t="s">
        <v>48</v>
      </c>
      <c r="C82" s="389" t="s">
        <v>1263</v>
      </c>
      <c r="D82" s="365" t="s">
        <v>1291</v>
      </c>
      <c r="E82" s="352">
        <f>SUM(F82:Q82)</f>
        <v>3500</v>
      </c>
      <c r="F82" s="760">
        <f>'Training-Yr3'!F25</f>
        <v>0</v>
      </c>
      <c r="G82" s="760">
        <f>'Training-Yr3'!G25</f>
        <v>0</v>
      </c>
      <c r="H82" s="760">
        <f>'Training-Yr3'!H25</f>
        <v>0</v>
      </c>
      <c r="I82" s="760">
        <f>'Training-Yr3'!I25</f>
        <v>0</v>
      </c>
      <c r="J82" s="760">
        <f>'Training-Yr3'!J25</f>
        <v>0</v>
      </c>
      <c r="K82" s="760">
        <f>'Training-Yr3'!K25</f>
        <v>0</v>
      </c>
      <c r="L82" s="760">
        <f>'Training-Yr3'!L25</f>
        <v>3500</v>
      </c>
      <c r="M82" s="760">
        <f>'Training-Yr3'!M25</f>
        <v>0</v>
      </c>
      <c r="N82" s="760">
        <f>'Training-Yr3'!N25</f>
        <v>0</v>
      </c>
      <c r="O82" s="760">
        <f>'Training-Yr3'!O25</f>
        <v>0</v>
      </c>
      <c r="P82" s="760">
        <f>'Training-Yr3'!P25</f>
        <v>0</v>
      </c>
      <c r="Q82" s="760">
        <f>'Training-Yr3'!Q25</f>
        <v>0</v>
      </c>
    </row>
    <row r="83" spans="1:17" ht="10.5">
      <c r="A83" s="334" t="s">
        <v>31</v>
      </c>
      <c r="B83" s="334" t="s">
        <v>59</v>
      </c>
      <c r="C83" s="389" t="str">
        <f>'[3]I&amp;E'!C4</f>
        <v>Central</v>
      </c>
      <c r="D83" s="392" t="str">
        <f>'[3]I&amp;E'!D4</f>
        <v>Office &amp; accom furnishings </v>
      </c>
      <c r="E83" s="352">
        <f>'[3]I&amp;E'!E4</f>
        <v>4775</v>
      </c>
      <c r="F83" s="760">
        <f>'I&amp;E-Yr3'!F4</f>
        <v>3775</v>
      </c>
      <c r="G83" s="760">
        <f>'I&amp;E-Yr3'!G4</f>
        <v>0</v>
      </c>
      <c r="H83" s="760">
        <f>'I&amp;E-Yr3'!H4</f>
        <v>1000</v>
      </c>
      <c r="I83" s="760">
        <f>'I&amp;E-Yr3'!I4</f>
        <v>0</v>
      </c>
      <c r="J83" s="760">
        <f>'I&amp;E-Yr3'!J4</f>
        <v>0</v>
      </c>
      <c r="K83" s="760">
        <f>'I&amp;E-Yr3'!K4</f>
        <v>0</v>
      </c>
      <c r="L83" s="760">
        <f>'I&amp;E-Yr3'!L4</f>
        <v>0</v>
      </c>
      <c r="M83" s="760">
        <f>'I&amp;E-Yr3'!M4</f>
        <v>0</v>
      </c>
      <c r="N83" s="760">
        <f>'I&amp;E-Yr3'!N4</f>
        <v>0</v>
      </c>
      <c r="O83" s="760">
        <f>'I&amp;E-Yr3'!O4</f>
        <v>0</v>
      </c>
      <c r="P83" s="760">
        <f>'I&amp;E-Yr3'!P4</f>
        <v>0</v>
      </c>
      <c r="Q83" s="760">
        <f>'I&amp;E-Yr3'!Q4</f>
        <v>0</v>
      </c>
    </row>
    <row r="84" spans="1:17" ht="10.5">
      <c r="A84" s="334" t="s">
        <v>31</v>
      </c>
      <c r="B84" s="334" t="s">
        <v>59</v>
      </c>
      <c r="C84" s="389" t="str">
        <f>'[3]I&amp;E'!C17</f>
        <v>Luanda</v>
      </c>
      <c r="D84" s="392" t="str">
        <f>'[3]I&amp;E'!D17</f>
        <v>Office &amp; accom furnishings </v>
      </c>
      <c r="E84" s="352">
        <f>'[3]I&amp;E'!E17</f>
        <v>5300</v>
      </c>
      <c r="F84" s="760">
        <f>'I&amp;E-Yr3'!F17</f>
        <v>0</v>
      </c>
      <c r="G84" s="760">
        <f>'I&amp;E-Yr3'!G17</f>
        <v>5300</v>
      </c>
      <c r="H84" s="760">
        <f>'I&amp;E-Yr3'!H17</f>
        <v>0</v>
      </c>
      <c r="I84" s="760">
        <f>'I&amp;E-Yr3'!I17</f>
        <v>0</v>
      </c>
      <c r="J84" s="760">
        <f>'I&amp;E-Yr3'!J17</f>
        <v>0</v>
      </c>
      <c r="K84" s="760">
        <f>'I&amp;E-Yr3'!K17</f>
        <v>0</v>
      </c>
      <c r="L84" s="760">
        <f>'I&amp;E-Yr3'!L17</f>
        <v>0</v>
      </c>
      <c r="M84" s="760">
        <f>'I&amp;E-Yr3'!M17</f>
        <v>0</v>
      </c>
      <c r="N84" s="760">
        <f>'I&amp;E-Yr3'!N17</f>
        <v>0</v>
      </c>
      <c r="O84" s="760">
        <f>'I&amp;E-Yr3'!O17</f>
        <v>0</v>
      </c>
      <c r="P84" s="760">
        <f>'I&amp;E-Yr3'!P17</f>
        <v>0</v>
      </c>
      <c r="Q84" s="760">
        <f>'I&amp;E-Yr3'!Q17</f>
        <v>0</v>
      </c>
    </row>
    <row r="85" spans="1:17" ht="10.5">
      <c r="A85" s="334" t="s">
        <v>31</v>
      </c>
      <c r="B85" s="334" t="s">
        <v>59</v>
      </c>
      <c r="C85" s="362" t="str">
        <f>'[3]I&amp;E'!C30</f>
        <v>Uige</v>
      </c>
      <c r="D85" s="365" t="str">
        <f>'[3]I&amp;E'!D30</f>
        <v>Office &amp; accom furnishings </v>
      </c>
      <c r="E85" s="352">
        <f>'[3]I&amp;E'!E30</f>
        <v>4450</v>
      </c>
      <c r="F85" s="760">
        <f>'I&amp;E-Yr3'!F30</f>
        <v>4450</v>
      </c>
      <c r="G85" s="760">
        <f>'I&amp;E-Yr3'!G30</f>
        <v>0</v>
      </c>
      <c r="H85" s="760">
        <f>'I&amp;E-Yr3'!H30</f>
        <v>0</v>
      </c>
      <c r="I85" s="760">
        <f>'I&amp;E-Yr3'!I30</f>
        <v>0</v>
      </c>
      <c r="J85" s="760">
        <f>'I&amp;E-Yr3'!J30</f>
        <v>0</v>
      </c>
      <c r="K85" s="760">
        <f>'I&amp;E-Yr3'!K30</f>
        <v>0</v>
      </c>
      <c r="L85" s="760">
        <f>'I&amp;E-Yr3'!L30</f>
        <v>0</v>
      </c>
      <c r="M85" s="760">
        <f>'I&amp;E-Yr3'!M30</f>
        <v>0</v>
      </c>
      <c r="N85" s="760">
        <f>'I&amp;E-Yr3'!N30</f>
        <v>0</v>
      </c>
      <c r="O85" s="760">
        <f>'I&amp;E-Yr3'!O30</f>
        <v>0</v>
      </c>
      <c r="P85" s="760">
        <f>'I&amp;E-Yr3'!P30</f>
        <v>0</v>
      </c>
      <c r="Q85" s="760">
        <f>'I&amp;E-Yr3'!Q30</f>
        <v>0</v>
      </c>
    </row>
    <row r="86" spans="1:17" ht="10.5">
      <c r="A86" s="334" t="s">
        <v>31</v>
      </c>
      <c r="B86" s="334" t="s">
        <v>59</v>
      </c>
      <c r="C86" s="362" t="str">
        <f>'[3]I&amp;E'!C41</f>
        <v>Zaire</v>
      </c>
      <c r="D86" s="365" t="str">
        <f>'[3]I&amp;E'!D41</f>
        <v>Office &amp; accom furnishings </v>
      </c>
      <c r="E86" s="352">
        <f>'[3]I&amp;E'!E41</f>
        <v>500</v>
      </c>
      <c r="F86" s="760">
        <f>'I&amp;E-Yr3'!F41</f>
        <v>0</v>
      </c>
      <c r="G86" s="760">
        <f>'I&amp;E-Yr3'!G41</f>
        <v>0</v>
      </c>
      <c r="H86" s="760">
        <f>'I&amp;E-Yr3'!H41</f>
        <v>0</v>
      </c>
      <c r="I86" s="760">
        <f>'I&amp;E-Yr3'!I41</f>
        <v>500</v>
      </c>
      <c r="J86" s="760">
        <f>'I&amp;E-Yr3'!J41</f>
        <v>0</v>
      </c>
      <c r="K86" s="760">
        <f>'I&amp;E-Yr3'!K41</f>
        <v>0</v>
      </c>
      <c r="L86" s="760">
        <f>'I&amp;E-Yr3'!L41</f>
        <v>0</v>
      </c>
      <c r="M86" s="760">
        <f>'I&amp;E-Yr3'!M41</f>
        <v>0</v>
      </c>
      <c r="N86" s="760">
        <f>'I&amp;E-Yr3'!N41</f>
        <v>0</v>
      </c>
      <c r="O86" s="760">
        <f>'I&amp;E-Yr3'!O41</f>
        <v>0</v>
      </c>
      <c r="P86" s="760">
        <f>'I&amp;E-Yr3'!P41</f>
        <v>0</v>
      </c>
      <c r="Q86" s="760">
        <f>'I&amp;E-Yr3'!Q41</f>
        <v>0</v>
      </c>
    </row>
    <row r="87" spans="1:17" ht="10.5">
      <c r="A87" s="334" t="s">
        <v>31</v>
      </c>
      <c r="B87" s="334" t="s">
        <v>59</v>
      </c>
      <c r="C87" s="362" t="str">
        <f>'[3]I&amp;E'!C49</f>
        <v>Bie</v>
      </c>
      <c r="D87" s="365" t="str">
        <f>'[3]I&amp;E'!D49</f>
        <v>Office &amp; accom furnishings </v>
      </c>
      <c r="E87" s="352">
        <f>'[3]I&amp;E'!E49</f>
        <v>2250</v>
      </c>
      <c r="F87" s="760">
        <f>'I&amp;E-Yr3'!F49</f>
        <v>2250</v>
      </c>
      <c r="G87" s="760">
        <f>'I&amp;E-Yr3'!G49</f>
        <v>0</v>
      </c>
      <c r="H87" s="760">
        <f>'I&amp;E-Yr3'!H49</f>
        <v>0</v>
      </c>
      <c r="I87" s="760">
        <f>'I&amp;E-Yr3'!I49</f>
        <v>0</v>
      </c>
      <c r="J87" s="760">
        <f>'I&amp;E-Yr3'!J49</f>
        <v>0</v>
      </c>
      <c r="K87" s="760">
        <f>'I&amp;E-Yr3'!K49</f>
        <v>0</v>
      </c>
      <c r="L87" s="760">
        <f>'I&amp;E-Yr3'!L49</f>
        <v>0</v>
      </c>
      <c r="M87" s="760">
        <f>'I&amp;E-Yr3'!M49</f>
        <v>0</v>
      </c>
      <c r="N87" s="760">
        <f>'I&amp;E-Yr3'!N49</f>
        <v>0</v>
      </c>
      <c r="O87" s="760">
        <f>'I&amp;E-Yr3'!O49</f>
        <v>0</v>
      </c>
      <c r="P87" s="760">
        <f>'I&amp;E-Yr3'!P49</f>
        <v>0</v>
      </c>
      <c r="Q87" s="760">
        <f>'I&amp;E-Yr3'!Q49</f>
        <v>0</v>
      </c>
    </row>
    <row r="88" spans="1:17" ht="10.5">
      <c r="A88" s="334" t="s">
        <v>31</v>
      </c>
      <c r="B88" s="334" t="s">
        <v>59</v>
      </c>
      <c r="C88" s="362" t="str">
        <f>'[3]I&amp;E'!C64</f>
        <v>Central</v>
      </c>
      <c r="D88" s="365" t="str">
        <f>'[3]I&amp;E'!D64</f>
        <v>IT &amp; Comm equipment (all bases)</v>
      </c>
      <c r="E88" s="352">
        <f>'[3]I&amp;E'!E64</f>
        <v>6000</v>
      </c>
      <c r="F88" s="760">
        <f>'I&amp;E-Yr3'!F64</f>
        <v>3100</v>
      </c>
      <c r="G88" s="760">
        <f>'I&amp;E-Yr3'!G64</f>
        <v>0</v>
      </c>
      <c r="H88" s="760">
        <f>'I&amp;E-Yr3'!H64</f>
        <v>0</v>
      </c>
      <c r="I88" s="760">
        <f>'I&amp;E-Yr3'!I64</f>
        <v>2900</v>
      </c>
      <c r="J88" s="760">
        <f>'I&amp;E-Yr3'!J64</f>
        <v>0</v>
      </c>
      <c r="K88" s="760">
        <f>'I&amp;E-Yr3'!K64</f>
        <v>0</v>
      </c>
      <c r="L88" s="760">
        <f>'I&amp;E-Yr3'!L64</f>
        <v>0</v>
      </c>
      <c r="M88" s="760">
        <f>'I&amp;E-Yr3'!M64</f>
        <v>0</v>
      </c>
      <c r="N88" s="760">
        <f>'I&amp;E-Yr3'!N64</f>
        <v>0</v>
      </c>
      <c r="O88" s="760">
        <f>'I&amp;E-Yr3'!O64</f>
        <v>0</v>
      </c>
      <c r="P88" s="760">
        <f>'I&amp;E-Yr3'!P64</f>
        <v>0</v>
      </c>
      <c r="Q88" s="760">
        <f>'I&amp;E-Yr3'!Q64</f>
        <v>0</v>
      </c>
    </row>
    <row r="89" spans="1:17" ht="10.5">
      <c r="A89" s="334" t="s">
        <v>31</v>
      </c>
      <c r="B89" s="334" t="s">
        <v>59</v>
      </c>
      <c r="C89" s="362" t="str">
        <f>'[3]I&amp;E'!C87</f>
        <v>Central</v>
      </c>
      <c r="D89" s="365" t="str">
        <f>'[3]I&amp;E'!D87</f>
        <v>Vehicle Insurance and taxes (all)</v>
      </c>
      <c r="E89" s="352">
        <f>'[3]I&amp;E'!E87</f>
        <v>34100</v>
      </c>
      <c r="F89" s="760">
        <f>'I&amp;E-Yr3'!F87</f>
        <v>0</v>
      </c>
      <c r="G89" s="760">
        <f>'I&amp;E-Yr3'!G87</f>
        <v>0</v>
      </c>
      <c r="H89" s="760">
        <f>'I&amp;E-Yr3'!H87</f>
        <v>0</v>
      </c>
      <c r="I89" s="760">
        <f>'I&amp;E-Yr3'!I87</f>
        <v>0</v>
      </c>
      <c r="J89" s="760">
        <f>'I&amp;E-Yr3'!J87</f>
        <v>17900</v>
      </c>
      <c r="K89" s="760">
        <f>'I&amp;E-Yr3'!K87</f>
        <v>16200</v>
      </c>
      <c r="L89" s="760">
        <f>'I&amp;E-Yr3'!L87</f>
        <v>0</v>
      </c>
      <c r="M89" s="760">
        <f>'I&amp;E-Yr3'!M87</f>
        <v>0</v>
      </c>
      <c r="N89" s="760">
        <f>'I&amp;E-Yr3'!N87</f>
        <v>0</v>
      </c>
      <c r="O89" s="760">
        <f>'I&amp;E-Yr3'!O87</f>
        <v>0</v>
      </c>
      <c r="P89" s="760">
        <f>'I&amp;E-Yr3'!P87</f>
        <v>0</v>
      </c>
      <c r="Q89" s="760">
        <f>'I&amp;E-Yr3'!Q87</f>
        <v>0</v>
      </c>
    </row>
    <row r="90" spans="1:17" ht="10.5">
      <c r="A90" s="334" t="s">
        <v>31</v>
      </c>
      <c r="B90" s="334" t="s">
        <v>59</v>
      </c>
      <c r="C90" s="362" t="str">
        <f>'[3]I&amp;E'!C93</f>
        <v>Central</v>
      </c>
      <c r="D90" s="365" t="str">
        <f>'[3]I&amp;E'!D93</f>
        <v>Vehicle running (Maint, repair, fuel)</v>
      </c>
      <c r="E90" s="352">
        <f>'[3]I&amp;E'!E93</f>
        <v>23100</v>
      </c>
      <c r="F90" s="760">
        <f>'I&amp;E-Yr3'!F93</f>
        <v>1650</v>
      </c>
      <c r="G90" s="760">
        <f>'I&amp;E-Yr3'!G93</f>
        <v>2550</v>
      </c>
      <c r="H90" s="760">
        <f>'I&amp;E-Yr3'!H93</f>
        <v>1650</v>
      </c>
      <c r="I90" s="760">
        <f>'I&amp;E-Yr3'!I93</f>
        <v>1650</v>
      </c>
      <c r="J90" s="760">
        <f>'I&amp;E-Yr3'!J93</f>
        <v>4050</v>
      </c>
      <c r="K90" s="760">
        <f>'I&amp;E-Yr3'!K93</f>
        <v>1650</v>
      </c>
      <c r="L90" s="760">
        <f>'I&amp;E-Yr3'!L93</f>
        <v>1650</v>
      </c>
      <c r="M90" s="760">
        <f>'I&amp;E-Yr3'!M93</f>
        <v>1650</v>
      </c>
      <c r="N90" s="760">
        <f>'I&amp;E-Yr3'!N93</f>
        <v>1650</v>
      </c>
      <c r="O90" s="760">
        <f>'I&amp;E-Yr3'!O93</f>
        <v>1650</v>
      </c>
      <c r="P90" s="760">
        <f>'I&amp;E-Yr3'!P93</f>
        <v>1650</v>
      </c>
      <c r="Q90" s="760">
        <f>'I&amp;E-Yr3'!Q93</f>
        <v>1650</v>
      </c>
    </row>
    <row r="91" spans="1:17" ht="10.5">
      <c r="A91" s="334" t="s">
        <v>31</v>
      </c>
      <c r="B91" s="334" t="s">
        <v>59</v>
      </c>
      <c r="C91" s="362" t="str">
        <f>'[3]I&amp;E'!C98</f>
        <v>Luanda</v>
      </c>
      <c r="D91" s="365" t="str">
        <f>'[3]I&amp;E'!D98</f>
        <v>Vehicle running (Maint, repair, fuel)</v>
      </c>
      <c r="E91" s="352">
        <f>'[3]I&amp;E'!E98</f>
        <v>3600</v>
      </c>
      <c r="F91" s="760">
        <f>'I&amp;E-Yr3'!F98</f>
        <v>300</v>
      </c>
      <c r="G91" s="760">
        <f>'I&amp;E-Yr3'!G98</f>
        <v>300</v>
      </c>
      <c r="H91" s="760">
        <f>'I&amp;E-Yr3'!H98</f>
        <v>300</v>
      </c>
      <c r="I91" s="760">
        <f>'I&amp;E-Yr3'!I98</f>
        <v>300</v>
      </c>
      <c r="J91" s="760">
        <f>'I&amp;E-Yr3'!J98</f>
        <v>300</v>
      </c>
      <c r="K91" s="760">
        <f>'I&amp;E-Yr3'!K98</f>
        <v>300</v>
      </c>
      <c r="L91" s="760">
        <f>'I&amp;E-Yr3'!L98</f>
        <v>300</v>
      </c>
      <c r="M91" s="760">
        <f>'I&amp;E-Yr3'!M98</f>
        <v>300</v>
      </c>
      <c r="N91" s="760">
        <f>'I&amp;E-Yr3'!N98</f>
        <v>300</v>
      </c>
      <c r="O91" s="760">
        <f>'I&amp;E-Yr3'!O98</f>
        <v>300</v>
      </c>
      <c r="P91" s="760">
        <f>'I&amp;E-Yr3'!P98</f>
        <v>300</v>
      </c>
      <c r="Q91" s="760">
        <f>'I&amp;E-Yr3'!Q98</f>
        <v>300</v>
      </c>
    </row>
    <row r="92" spans="1:17" ht="10.5">
      <c r="A92" s="334" t="s">
        <v>31</v>
      </c>
      <c r="B92" s="334" t="s">
        <v>59</v>
      </c>
      <c r="C92" s="362" t="str">
        <f>'[3]I&amp;E'!C103</f>
        <v>Uige</v>
      </c>
      <c r="D92" s="365" t="str">
        <f>'[3]I&amp;E'!D103</f>
        <v>Vehicle running (Maint, repair, fuel)</v>
      </c>
      <c r="E92" s="352">
        <f>'[3]I&amp;E'!E103</f>
        <v>23400</v>
      </c>
      <c r="F92" s="760">
        <f>'I&amp;E-Yr3'!F103</f>
        <v>1650</v>
      </c>
      <c r="G92" s="760">
        <f>'I&amp;E-Yr3'!G103</f>
        <v>1650</v>
      </c>
      <c r="H92" s="760">
        <f>'I&amp;E-Yr3'!H103</f>
        <v>2850</v>
      </c>
      <c r="I92" s="760">
        <f>'I&amp;E-Yr3'!I103</f>
        <v>1650</v>
      </c>
      <c r="J92" s="760">
        <f>'I&amp;E-Yr3'!J103</f>
        <v>2850</v>
      </c>
      <c r="K92" s="760">
        <f>'I&amp;E-Yr3'!K103</f>
        <v>1650</v>
      </c>
      <c r="L92" s="760">
        <f>'I&amp;E-Yr3'!L103</f>
        <v>1650</v>
      </c>
      <c r="M92" s="760">
        <f>'I&amp;E-Yr3'!M103</f>
        <v>1650</v>
      </c>
      <c r="N92" s="760">
        <f>'I&amp;E-Yr3'!N103</f>
        <v>1650</v>
      </c>
      <c r="O92" s="760">
        <f>'I&amp;E-Yr3'!O103</f>
        <v>1650</v>
      </c>
      <c r="P92" s="760">
        <f>'I&amp;E-Yr3'!P103</f>
        <v>2850</v>
      </c>
      <c r="Q92" s="760">
        <f>'I&amp;E-Yr3'!Q103</f>
        <v>1650</v>
      </c>
    </row>
    <row r="93" spans="1:17" ht="10.5">
      <c r="A93" s="334" t="s">
        <v>31</v>
      </c>
      <c r="B93" s="334" t="s">
        <v>59</v>
      </c>
      <c r="C93" s="362" t="str">
        <f>'[3]I&amp;E'!C108</f>
        <v>Zaire</v>
      </c>
      <c r="D93" s="365" t="str">
        <f>'[3]I&amp;E'!D108</f>
        <v>Vehicle running (Maint, repair, fuel)</v>
      </c>
      <c r="E93" s="352">
        <f>'[3]I&amp;E'!E108</f>
        <v>14250</v>
      </c>
      <c r="F93" s="760">
        <f>'I&amp;E-Yr3'!F108</f>
        <v>1100</v>
      </c>
      <c r="G93" s="760">
        <f>'I&amp;E-Yr3'!G108</f>
        <v>1100</v>
      </c>
      <c r="H93" s="760">
        <f>'I&amp;E-Yr3'!H108</f>
        <v>1100</v>
      </c>
      <c r="I93" s="760">
        <f>'I&amp;E-Yr3'!I108</f>
        <v>1100</v>
      </c>
      <c r="J93" s="760">
        <f>'I&amp;E-Yr3'!J108</f>
        <v>2150</v>
      </c>
      <c r="K93" s="760">
        <f>'I&amp;E-Yr3'!K108</f>
        <v>1100</v>
      </c>
      <c r="L93" s="760">
        <f>'I&amp;E-Yr3'!L108</f>
        <v>1100</v>
      </c>
      <c r="M93" s="760">
        <f>'I&amp;E-Yr3'!M108</f>
        <v>1100</v>
      </c>
      <c r="N93" s="760">
        <f>'I&amp;E-Yr3'!N108</f>
        <v>1100</v>
      </c>
      <c r="O93" s="760">
        <f>'I&amp;E-Yr3'!O108</f>
        <v>1100</v>
      </c>
      <c r="P93" s="760">
        <f>'I&amp;E-Yr3'!P108</f>
        <v>1100</v>
      </c>
      <c r="Q93" s="760">
        <f>'I&amp;E-Yr3'!Q108</f>
        <v>1100</v>
      </c>
    </row>
    <row r="94" spans="1:17" ht="10.5">
      <c r="A94" s="334" t="s">
        <v>31</v>
      </c>
      <c r="B94" s="334" t="s">
        <v>59</v>
      </c>
      <c r="C94" s="362" t="str">
        <f>'[3]I&amp;E'!C113</f>
        <v>Bie</v>
      </c>
      <c r="D94" s="365" t="str">
        <f>'[3]I&amp;E'!D113</f>
        <v>Vehicle running (Maint, repair, fuel)</v>
      </c>
      <c r="E94" s="352">
        <f>'[3]I&amp;E'!E113</f>
        <v>7650</v>
      </c>
      <c r="F94" s="760">
        <f>'I&amp;E-Yr3'!F113</f>
        <v>550</v>
      </c>
      <c r="G94" s="760">
        <f>'I&amp;E-Yr3'!G113</f>
        <v>550</v>
      </c>
      <c r="H94" s="760">
        <f>'I&amp;E-Yr3'!H113</f>
        <v>550</v>
      </c>
      <c r="I94" s="760">
        <f>'I&amp;E-Yr3'!I113</f>
        <v>1600</v>
      </c>
      <c r="J94" s="760">
        <f>'I&amp;E-Yr3'!J113</f>
        <v>550</v>
      </c>
      <c r="K94" s="760">
        <f>'I&amp;E-Yr3'!K113</f>
        <v>550</v>
      </c>
      <c r="L94" s="760">
        <f>'I&amp;E-Yr3'!L113</f>
        <v>550</v>
      </c>
      <c r="M94" s="760">
        <f>'I&amp;E-Yr3'!M113</f>
        <v>550</v>
      </c>
      <c r="N94" s="760">
        <f>'I&amp;E-Yr3'!N113</f>
        <v>550</v>
      </c>
      <c r="O94" s="760">
        <f>'I&amp;E-Yr3'!O113</f>
        <v>550</v>
      </c>
      <c r="P94" s="760">
        <f>'I&amp;E-Yr3'!P113</f>
        <v>550</v>
      </c>
      <c r="Q94" s="760">
        <f>'I&amp;E-Yr3'!Q113</f>
        <v>550</v>
      </c>
    </row>
    <row r="95" spans="1:17" ht="10.5">
      <c r="A95" s="334" t="s">
        <v>31</v>
      </c>
      <c r="B95" s="334" t="s">
        <v>59</v>
      </c>
      <c r="C95" s="362" t="str">
        <f>'[3]I&amp;E'!C119</f>
        <v>Central</v>
      </c>
      <c r="D95" s="365" t="str">
        <f>'[3]I&amp;E'!D119</f>
        <v>Generator running (Maint, repair, fuel)</v>
      </c>
      <c r="E95" s="352">
        <f>'[3]I&amp;E'!E119</f>
        <v>2325</v>
      </c>
      <c r="F95" s="760">
        <f>'I&amp;E-Yr3'!F119</f>
        <v>150</v>
      </c>
      <c r="G95" s="760">
        <f>'I&amp;E-Yr3'!G119</f>
        <v>150</v>
      </c>
      <c r="H95" s="760">
        <f>'I&amp;E-Yr3'!H119</f>
        <v>150</v>
      </c>
      <c r="I95" s="760">
        <f>'I&amp;E-Yr3'!I119</f>
        <v>150</v>
      </c>
      <c r="J95" s="760">
        <f>'I&amp;E-Yr3'!J119</f>
        <v>150</v>
      </c>
      <c r="K95" s="760">
        <f>'I&amp;E-Yr3'!K119</f>
        <v>225</v>
      </c>
      <c r="L95" s="760">
        <f>'I&amp;E-Yr3'!L119</f>
        <v>225</v>
      </c>
      <c r="M95" s="760">
        <f>'I&amp;E-Yr3'!M119</f>
        <v>225</v>
      </c>
      <c r="N95" s="760">
        <f>'I&amp;E-Yr3'!N119</f>
        <v>225</v>
      </c>
      <c r="O95" s="760">
        <f>'I&amp;E-Yr3'!O119</f>
        <v>225</v>
      </c>
      <c r="P95" s="760">
        <f>'I&amp;E-Yr3'!P119</f>
        <v>225</v>
      </c>
      <c r="Q95" s="760">
        <f>'I&amp;E-Yr3'!Q119</f>
        <v>225</v>
      </c>
    </row>
    <row r="96" spans="1:17" ht="10.5">
      <c r="A96" s="334" t="s">
        <v>31</v>
      </c>
      <c r="B96" s="334" t="s">
        <v>59</v>
      </c>
      <c r="C96" s="362" t="str">
        <f>'[3]I&amp;E'!C124</f>
        <v>Luanda</v>
      </c>
      <c r="D96" s="365" t="str">
        <f>'[3]I&amp;E'!D124</f>
        <v>Generator running (Maint, repair, fuel)</v>
      </c>
      <c r="E96" s="352">
        <f>'[3]I&amp;E'!E124</f>
        <v>1200</v>
      </c>
      <c r="F96" s="760">
        <f>'I&amp;E-Yr3'!F124</f>
        <v>100</v>
      </c>
      <c r="G96" s="760">
        <f>'I&amp;E-Yr3'!G124</f>
        <v>100</v>
      </c>
      <c r="H96" s="760">
        <f>'I&amp;E-Yr3'!H124</f>
        <v>100</v>
      </c>
      <c r="I96" s="760">
        <f>'I&amp;E-Yr3'!I124</f>
        <v>100</v>
      </c>
      <c r="J96" s="760">
        <f>'I&amp;E-Yr3'!J124</f>
        <v>100</v>
      </c>
      <c r="K96" s="760">
        <f>'I&amp;E-Yr3'!K124</f>
        <v>100</v>
      </c>
      <c r="L96" s="760">
        <f>'I&amp;E-Yr3'!L124</f>
        <v>100</v>
      </c>
      <c r="M96" s="760">
        <f>'I&amp;E-Yr3'!M124</f>
        <v>100</v>
      </c>
      <c r="N96" s="760">
        <f>'I&amp;E-Yr3'!N124</f>
        <v>100</v>
      </c>
      <c r="O96" s="760">
        <f>'I&amp;E-Yr3'!O124</f>
        <v>100</v>
      </c>
      <c r="P96" s="760">
        <f>'I&amp;E-Yr3'!P124</f>
        <v>100</v>
      </c>
      <c r="Q96" s="760">
        <f>'I&amp;E-Yr3'!Q124</f>
        <v>100</v>
      </c>
    </row>
    <row r="97" spans="1:17" ht="10.5">
      <c r="A97" s="334" t="s">
        <v>31</v>
      </c>
      <c r="B97" s="334" t="s">
        <v>59</v>
      </c>
      <c r="C97" s="362" t="str">
        <f>'[3]I&amp;E'!C129</f>
        <v>Uige</v>
      </c>
      <c r="D97" s="365" t="str">
        <f>'[3]I&amp;E'!D129</f>
        <v>Generator running (Maint, repair, fuel)</v>
      </c>
      <c r="E97" s="352">
        <f>'[3]I&amp;E'!E129</f>
        <v>1200</v>
      </c>
      <c r="F97" s="760">
        <f>'I&amp;E-Yr3'!F129</f>
        <v>100</v>
      </c>
      <c r="G97" s="760">
        <f>'I&amp;E-Yr3'!G129</f>
        <v>100</v>
      </c>
      <c r="H97" s="760">
        <f>'I&amp;E-Yr3'!H129</f>
        <v>100</v>
      </c>
      <c r="I97" s="760">
        <f>'I&amp;E-Yr3'!I129</f>
        <v>100</v>
      </c>
      <c r="J97" s="760">
        <f>'I&amp;E-Yr3'!J129</f>
        <v>100</v>
      </c>
      <c r="K97" s="760">
        <f>'I&amp;E-Yr3'!K129</f>
        <v>100</v>
      </c>
      <c r="L97" s="760">
        <f>'I&amp;E-Yr3'!L129</f>
        <v>100</v>
      </c>
      <c r="M97" s="760">
        <f>'I&amp;E-Yr3'!M129</f>
        <v>100</v>
      </c>
      <c r="N97" s="760">
        <f>'I&amp;E-Yr3'!N129</f>
        <v>100</v>
      </c>
      <c r="O97" s="760">
        <f>'I&amp;E-Yr3'!O129</f>
        <v>100</v>
      </c>
      <c r="P97" s="760">
        <f>'I&amp;E-Yr3'!P129</f>
        <v>100</v>
      </c>
      <c r="Q97" s="760">
        <f>'I&amp;E-Yr3'!Q129</f>
        <v>100</v>
      </c>
    </row>
    <row r="98" spans="1:17" ht="10.5">
      <c r="A98" s="334" t="s">
        <v>31</v>
      </c>
      <c r="B98" s="334" t="s">
        <v>59</v>
      </c>
      <c r="C98" s="362" t="str">
        <f>'[3]I&amp;E'!C134</f>
        <v>Zaire</v>
      </c>
      <c r="D98" s="365" t="str">
        <f>'[3]I&amp;E'!D134</f>
        <v>Generator running (Maint, repair, fuel)</v>
      </c>
      <c r="E98" s="352">
        <f>'[3]I&amp;E'!E134</f>
        <v>1200</v>
      </c>
      <c r="F98" s="760">
        <f>'I&amp;E-Yr3'!F134</f>
        <v>100</v>
      </c>
      <c r="G98" s="760">
        <f>'I&amp;E-Yr3'!G134</f>
        <v>100</v>
      </c>
      <c r="H98" s="760">
        <f>'I&amp;E-Yr3'!H134</f>
        <v>100</v>
      </c>
      <c r="I98" s="760">
        <f>'I&amp;E-Yr3'!I134</f>
        <v>100</v>
      </c>
      <c r="J98" s="760">
        <f>'I&amp;E-Yr3'!J134</f>
        <v>100</v>
      </c>
      <c r="K98" s="760">
        <f>'I&amp;E-Yr3'!K134</f>
        <v>100</v>
      </c>
      <c r="L98" s="760">
        <f>'I&amp;E-Yr3'!L134</f>
        <v>100</v>
      </c>
      <c r="M98" s="760">
        <f>'I&amp;E-Yr3'!M134</f>
        <v>100</v>
      </c>
      <c r="N98" s="760">
        <f>'I&amp;E-Yr3'!N134</f>
        <v>100</v>
      </c>
      <c r="O98" s="760">
        <f>'I&amp;E-Yr3'!O134</f>
        <v>100</v>
      </c>
      <c r="P98" s="760">
        <f>'I&amp;E-Yr3'!P134</f>
        <v>100</v>
      </c>
      <c r="Q98" s="760">
        <f>'I&amp;E-Yr3'!Q134</f>
        <v>100</v>
      </c>
    </row>
    <row r="99" spans="1:17" ht="10.5">
      <c r="A99" s="334" t="s">
        <v>31</v>
      </c>
      <c r="B99" s="334" t="s">
        <v>59</v>
      </c>
      <c r="C99" s="362" t="str">
        <f>'[3]I&amp;E'!C139</f>
        <v>Bie</v>
      </c>
      <c r="D99" s="365" t="str">
        <f>'[3]I&amp;E'!D139</f>
        <v>Generator running (Maint, repair, fuel)</v>
      </c>
      <c r="E99" s="352">
        <f>'[3]I&amp;E'!E139</f>
        <v>1200</v>
      </c>
      <c r="F99" s="760">
        <f>'I&amp;E-Yr3'!F139</f>
        <v>100</v>
      </c>
      <c r="G99" s="760">
        <f>'I&amp;E-Yr3'!G139</f>
        <v>100</v>
      </c>
      <c r="H99" s="760">
        <f>'I&amp;E-Yr3'!H139</f>
        <v>100</v>
      </c>
      <c r="I99" s="760">
        <f>'I&amp;E-Yr3'!I139</f>
        <v>100</v>
      </c>
      <c r="J99" s="760">
        <f>'I&amp;E-Yr3'!J139</f>
        <v>100</v>
      </c>
      <c r="K99" s="760">
        <f>'I&amp;E-Yr3'!K139</f>
        <v>100</v>
      </c>
      <c r="L99" s="760">
        <f>'I&amp;E-Yr3'!L139</f>
        <v>100</v>
      </c>
      <c r="M99" s="760">
        <f>'I&amp;E-Yr3'!M139</f>
        <v>100</v>
      </c>
      <c r="N99" s="760">
        <f>'I&amp;E-Yr3'!N139</f>
        <v>100</v>
      </c>
      <c r="O99" s="760">
        <f>'I&amp;E-Yr3'!O139</f>
        <v>100</v>
      </c>
      <c r="P99" s="760">
        <f>'I&amp;E-Yr3'!P139</f>
        <v>100</v>
      </c>
      <c r="Q99" s="760">
        <f>'I&amp;E-Yr3'!Q139</f>
        <v>100</v>
      </c>
    </row>
    <row r="100" spans="1:17" ht="10.5">
      <c r="A100" s="334" t="s">
        <v>31</v>
      </c>
      <c r="B100" s="334" t="s">
        <v>59</v>
      </c>
      <c r="C100" s="362" t="str">
        <f>'[3]I&amp;E'!C142</f>
        <v>Central</v>
      </c>
      <c r="D100" s="392" t="str">
        <f>'[3]I&amp;E'!D142</f>
        <v>Generator purchase</v>
      </c>
      <c r="E100" s="352">
        <f>'[3]I&amp;E'!E142</f>
        <v>3500</v>
      </c>
      <c r="F100" s="760">
        <f>'I&amp;E-Yr3'!F142</f>
        <v>0</v>
      </c>
      <c r="G100" s="760">
        <f>'I&amp;E-Yr3'!G142</f>
        <v>3500</v>
      </c>
      <c r="H100" s="760">
        <f>'I&amp;E-Yr3'!H142</f>
        <v>0</v>
      </c>
      <c r="I100" s="760">
        <f>'I&amp;E-Yr3'!I142</f>
        <v>0</v>
      </c>
      <c r="J100" s="760">
        <f>'I&amp;E-Yr3'!J142</f>
        <v>0</v>
      </c>
      <c r="K100" s="760">
        <f>'I&amp;E-Yr3'!K142</f>
        <v>0</v>
      </c>
      <c r="L100" s="760">
        <f>'I&amp;E-Yr3'!L142</f>
        <v>0</v>
      </c>
      <c r="M100" s="760">
        <f>'I&amp;E-Yr3'!M142</f>
        <v>0</v>
      </c>
      <c r="N100" s="760">
        <f>'I&amp;E-Yr3'!N142</f>
        <v>0</v>
      </c>
      <c r="O100" s="760">
        <f>'I&amp;E-Yr3'!O142</f>
        <v>0</v>
      </c>
      <c r="P100" s="760">
        <f>'I&amp;E-Yr3'!P142</f>
        <v>0</v>
      </c>
      <c r="Q100" s="760">
        <f>'I&amp;E-Yr3'!Q142</f>
        <v>0</v>
      </c>
    </row>
    <row r="101" spans="1:17" ht="10.5">
      <c r="A101" s="334" t="s">
        <v>31</v>
      </c>
      <c r="B101" s="334" t="s">
        <v>854</v>
      </c>
      <c r="C101" s="362" t="str">
        <f>'[3]I&amp;E'!C145</f>
        <v>Central</v>
      </c>
      <c r="D101" s="365" t="str">
        <f>'[3]I&amp;E'!D145</f>
        <v>Vehicle rental (lump sum)</v>
      </c>
      <c r="E101" s="352">
        <f>'[3]I&amp;E'!E145</f>
        <v>6000</v>
      </c>
      <c r="F101" s="760">
        <f>'I&amp;E-Yr3'!F145</f>
        <v>0</v>
      </c>
      <c r="G101" s="760">
        <f>'I&amp;E-Yr3'!G145</f>
        <v>0</v>
      </c>
      <c r="H101" s="760">
        <f>'I&amp;E-Yr3'!H145</f>
        <v>2000</v>
      </c>
      <c r="I101" s="760">
        <f>'I&amp;E-Yr3'!I145</f>
        <v>2000</v>
      </c>
      <c r="J101" s="760">
        <f>'I&amp;E-Yr3'!J145</f>
        <v>0</v>
      </c>
      <c r="K101" s="760">
        <f>'I&amp;E-Yr3'!K145</f>
        <v>0</v>
      </c>
      <c r="L101" s="760">
        <f>'I&amp;E-Yr3'!L145</f>
        <v>0</v>
      </c>
      <c r="M101" s="760">
        <f>'I&amp;E-Yr3'!M145</f>
        <v>0</v>
      </c>
      <c r="N101" s="760">
        <f>'I&amp;E-Yr3'!N145</f>
        <v>0</v>
      </c>
      <c r="O101" s="760">
        <f>'I&amp;E-Yr3'!O145</f>
        <v>0</v>
      </c>
      <c r="P101" s="760">
        <f>'I&amp;E-Yr3'!P145</f>
        <v>2000</v>
      </c>
      <c r="Q101" s="760">
        <f>'I&amp;E-Yr3'!Q145</f>
        <v>0</v>
      </c>
    </row>
    <row r="102" spans="1:17" ht="10.5">
      <c r="A102" s="334" t="s">
        <v>31</v>
      </c>
      <c r="B102" s="334" t="s">
        <v>854</v>
      </c>
      <c r="C102" s="362" t="str">
        <f>'[3]I&amp;E'!C148</f>
        <v>Huambo</v>
      </c>
      <c r="D102" s="365" t="str">
        <f>'[3]I&amp;E'!D148</f>
        <v>Vehicle fuel MDA</v>
      </c>
      <c r="E102" s="352">
        <f>'[3]I&amp;E'!E148</f>
        <v>1200</v>
      </c>
      <c r="F102" s="760">
        <f>'I&amp;E-Yr3'!F148</f>
        <v>0</v>
      </c>
      <c r="G102" s="760">
        <f>'I&amp;E-Yr3'!G148</f>
        <v>1200</v>
      </c>
      <c r="H102" s="760">
        <f>'I&amp;E-Yr3'!H148</f>
        <v>0</v>
      </c>
      <c r="I102" s="760">
        <f>'I&amp;E-Yr3'!I148</f>
        <v>0</v>
      </c>
      <c r="J102" s="760">
        <f>'I&amp;E-Yr3'!J148</f>
        <v>0</v>
      </c>
      <c r="K102" s="760">
        <f>'I&amp;E-Yr3'!K148</f>
        <v>0</v>
      </c>
      <c r="L102" s="760">
        <f>'I&amp;E-Yr3'!L148</f>
        <v>0</v>
      </c>
      <c r="M102" s="760">
        <f>'I&amp;E-Yr3'!M148</f>
        <v>0</v>
      </c>
      <c r="N102" s="760">
        <f>'I&amp;E-Yr3'!N148</f>
        <v>0</v>
      </c>
      <c r="O102" s="760">
        <f>'I&amp;E-Yr3'!O148</f>
        <v>0</v>
      </c>
      <c r="P102" s="760">
        <f>'I&amp;E-Yr3'!P148</f>
        <v>0</v>
      </c>
      <c r="Q102" s="760">
        <f>'I&amp;E-Yr3'!Q148</f>
        <v>0</v>
      </c>
    </row>
    <row r="103" spans="1:17" ht="10.5">
      <c r="A103" s="334" t="s">
        <v>31</v>
      </c>
      <c r="B103" s="334" t="s">
        <v>854</v>
      </c>
      <c r="C103" s="362" t="str">
        <f>'[3]I&amp;E'!C149</f>
        <v>Uige</v>
      </c>
      <c r="D103" s="365" t="str">
        <f>'[3]I&amp;E'!D149</f>
        <v>Vehicle fuel MDA</v>
      </c>
      <c r="E103" s="352">
        <f>'[3]I&amp;E'!E149</f>
        <v>3600</v>
      </c>
      <c r="F103" s="760">
        <f>'I&amp;E-Yr3'!F149</f>
        <v>0</v>
      </c>
      <c r="G103" s="760">
        <f>'I&amp;E-Yr3'!G149</f>
        <v>0</v>
      </c>
      <c r="H103" s="760">
        <f>'I&amp;E-Yr3'!H149</f>
        <v>1200</v>
      </c>
      <c r="I103" s="760">
        <f>'I&amp;E-Yr3'!I149</f>
        <v>0</v>
      </c>
      <c r="J103" s="760">
        <f>'I&amp;E-Yr3'!J149</f>
        <v>1200</v>
      </c>
      <c r="K103" s="760">
        <f>'I&amp;E-Yr3'!K149</f>
        <v>0</v>
      </c>
      <c r="L103" s="760">
        <f>'I&amp;E-Yr3'!L149</f>
        <v>0</v>
      </c>
      <c r="M103" s="760">
        <f>'I&amp;E-Yr3'!M149</f>
        <v>0</v>
      </c>
      <c r="N103" s="760">
        <f>'I&amp;E-Yr3'!N149</f>
        <v>0</v>
      </c>
      <c r="O103" s="760">
        <f>'I&amp;E-Yr3'!O149</f>
        <v>0</v>
      </c>
      <c r="P103" s="760">
        <f>'I&amp;E-Yr3'!P149</f>
        <v>1200</v>
      </c>
      <c r="Q103" s="760">
        <f>'I&amp;E-Yr3'!Q149</f>
        <v>0</v>
      </c>
    </row>
    <row r="104" spans="1:17" ht="10.5">
      <c r="A104" s="334" t="s">
        <v>31</v>
      </c>
      <c r="B104" s="334" t="s">
        <v>854</v>
      </c>
      <c r="C104" s="362" t="str">
        <f>'[3]I&amp;E'!C150</f>
        <v>Zaire</v>
      </c>
      <c r="D104" s="365" t="str">
        <f>'[3]I&amp;E'!D150</f>
        <v>Vehicle fuel MDA</v>
      </c>
      <c r="E104" s="352">
        <f>'[3]I&amp;E'!E150</f>
        <v>1050</v>
      </c>
      <c r="F104" s="760">
        <f>'I&amp;E-Yr3'!F150</f>
        <v>0</v>
      </c>
      <c r="G104" s="760">
        <f>'I&amp;E-Yr3'!G150</f>
        <v>0</v>
      </c>
      <c r="H104" s="760">
        <f>'I&amp;E-Yr3'!H150</f>
        <v>0</v>
      </c>
      <c r="I104" s="760">
        <f>'I&amp;E-Yr3'!I150</f>
        <v>0</v>
      </c>
      <c r="J104" s="760">
        <f>'I&amp;E-Yr3'!J150</f>
        <v>1050</v>
      </c>
      <c r="K104" s="760">
        <f>'I&amp;E-Yr3'!K150</f>
        <v>0</v>
      </c>
      <c r="L104" s="760">
        <f>'I&amp;E-Yr3'!L150</f>
        <v>0</v>
      </c>
      <c r="M104" s="760">
        <f>'I&amp;E-Yr3'!M150</f>
        <v>0</v>
      </c>
      <c r="N104" s="760">
        <f>'I&amp;E-Yr3'!N150</f>
        <v>0</v>
      </c>
      <c r="O104" s="760">
        <f>'I&amp;E-Yr3'!O150</f>
        <v>0</v>
      </c>
      <c r="P104" s="760">
        <f>'I&amp;E-Yr3'!P150</f>
        <v>0</v>
      </c>
      <c r="Q104" s="760">
        <f>'I&amp;E-Yr3'!Q150</f>
        <v>0</v>
      </c>
    </row>
    <row r="105" spans="1:17" ht="10.5">
      <c r="A105" s="334" t="s">
        <v>31</v>
      </c>
      <c r="B105" s="334" t="s">
        <v>854</v>
      </c>
      <c r="C105" s="362" t="str">
        <f>'[3]I&amp;E'!C151</f>
        <v>Bie</v>
      </c>
      <c r="D105" s="365" t="str">
        <f>'[3]I&amp;E'!D151</f>
        <v>Vehicle fuel MDA</v>
      </c>
      <c r="E105" s="352">
        <f>'[3]I&amp;E'!E151</f>
        <v>1050</v>
      </c>
      <c r="F105" s="760">
        <f>'I&amp;E-Yr3'!F151</f>
        <v>0</v>
      </c>
      <c r="G105" s="760">
        <f>'I&amp;E-Yr3'!G151</f>
        <v>0</v>
      </c>
      <c r="H105" s="760">
        <f>'I&amp;E-Yr3'!H151</f>
        <v>0</v>
      </c>
      <c r="I105" s="760">
        <f>'I&amp;E-Yr3'!I151</f>
        <v>1050</v>
      </c>
      <c r="J105" s="760">
        <f>'I&amp;E-Yr3'!J151</f>
        <v>0</v>
      </c>
      <c r="K105" s="760">
        <f>'I&amp;E-Yr3'!K151</f>
        <v>0</v>
      </c>
      <c r="L105" s="760">
        <f>'I&amp;E-Yr3'!L151</f>
        <v>0</v>
      </c>
      <c r="M105" s="760">
        <f>'I&amp;E-Yr3'!M151</f>
        <v>0</v>
      </c>
      <c r="N105" s="760">
        <f>'I&amp;E-Yr3'!N151</f>
        <v>0</v>
      </c>
      <c r="O105" s="760">
        <f>'I&amp;E-Yr3'!O151</f>
        <v>0</v>
      </c>
      <c r="P105" s="760">
        <f>'I&amp;E-Yr3'!P151</f>
        <v>0</v>
      </c>
      <c r="Q105" s="760">
        <f>'I&amp;E-Yr3'!Q151</f>
        <v>0</v>
      </c>
    </row>
    <row r="106" spans="1:17" ht="10.5">
      <c r="A106" s="334" t="s">
        <v>31</v>
      </c>
      <c r="B106" s="334" t="s">
        <v>854</v>
      </c>
      <c r="C106" s="362" t="str">
        <f>'[3]I&amp;E'!C152</f>
        <v>Other</v>
      </c>
      <c r="D106" s="365" t="str">
        <f>'[3]I&amp;E'!D152</f>
        <v>Vehicle fuel MDA</v>
      </c>
      <c r="E106" s="352">
        <f>'[3]I&amp;E'!E152</f>
        <v>2400</v>
      </c>
      <c r="F106" s="760">
        <f>'I&amp;E-Yr3'!F152</f>
        <v>0</v>
      </c>
      <c r="G106" s="760">
        <f>'I&amp;E-Yr3'!G152</f>
        <v>0</v>
      </c>
      <c r="H106" s="760">
        <f>'I&amp;E-Yr3'!H152</f>
        <v>0</v>
      </c>
      <c r="I106" s="760">
        <f>'I&amp;E-Yr3'!I152</f>
        <v>0</v>
      </c>
      <c r="J106" s="760">
        <f>'I&amp;E-Yr3'!J152</f>
        <v>1200</v>
      </c>
      <c r="K106" s="760">
        <f>'I&amp;E-Yr3'!K152</f>
        <v>1200</v>
      </c>
      <c r="L106" s="760">
        <f>'I&amp;E-Yr3'!L152</f>
        <v>0</v>
      </c>
      <c r="M106" s="760">
        <f>'I&amp;E-Yr3'!M152</f>
        <v>0</v>
      </c>
      <c r="N106" s="760">
        <f>'I&amp;E-Yr3'!N152</f>
        <v>0</v>
      </c>
      <c r="O106" s="760">
        <f>'I&amp;E-Yr3'!O152</f>
        <v>0</v>
      </c>
      <c r="P106" s="760">
        <f>'I&amp;E-Yr3'!P152</f>
        <v>0</v>
      </c>
      <c r="Q106" s="760">
        <f>'I&amp;E-Yr3'!Q152</f>
        <v>0</v>
      </c>
    </row>
    <row r="107" spans="1:17" ht="10.5">
      <c r="A107" s="334" t="s">
        <v>30</v>
      </c>
      <c r="B107" s="334" t="s">
        <v>854</v>
      </c>
      <c r="C107" s="362" t="str">
        <f>'[3]Meds'!C3</f>
        <v>Central</v>
      </c>
      <c r="D107" s="365" t="str">
        <f>'[3]Meds'!D3</f>
        <v>Extra medicines (lumpsum)</v>
      </c>
      <c r="E107" s="366">
        <f>'[3]Meds'!E3</f>
        <v>33000</v>
      </c>
      <c r="F107" s="760">
        <f>'Meds-Yr3'!F3</f>
        <v>0</v>
      </c>
      <c r="G107" s="760">
        <f>'Meds-Yr3'!G3</f>
        <v>0</v>
      </c>
      <c r="H107" s="760">
        <f>'Meds-Yr3'!H3</f>
        <v>0</v>
      </c>
      <c r="I107" s="760">
        <f>'Meds-Yr3'!I3</f>
        <v>0</v>
      </c>
      <c r="J107" s="760">
        <f>'Meds-Yr3'!J3</f>
        <v>33000</v>
      </c>
      <c r="K107" s="760">
        <f>'Meds-Yr3'!K3</f>
        <v>0</v>
      </c>
      <c r="L107" s="760">
        <f>'Meds-Yr3'!L3</f>
        <v>0</v>
      </c>
      <c r="M107" s="760">
        <f>'Meds-Yr3'!M3</f>
        <v>0</v>
      </c>
      <c r="N107" s="760">
        <f>'Meds-Yr3'!N3</f>
        <v>0</v>
      </c>
      <c r="O107" s="760">
        <f>'Meds-Yr3'!O3</f>
        <v>0</v>
      </c>
      <c r="P107" s="760">
        <f>'Meds-Yr3'!P3</f>
        <v>0</v>
      </c>
      <c r="Q107" s="760">
        <f>'Meds-Yr3'!Q3</f>
        <v>0</v>
      </c>
    </row>
    <row r="108" spans="1:17" ht="10.5">
      <c r="A108" s="334" t="s">
        <v>8</v>
      </c>
      <c r="B108" s="334" t="s">
        <v>58</v>
      </c>
      <c r="C108" s="362" t="str">
        <f>'[3]M&amp;E'!C5</f>
        <v>Huambo</v>
      </c>
      <c r="D108" s="365" t="str">
        <f>'[3]M&amp;E'!D5</f>
        <v>Post training supervisions</v>
      </c>
      <c r="E108" s="366">
        <f>'[3]M&amp;E'!E5</f>
        <v>4800</v>
      </c>
      <c r="F108" s="760">
        <f>'M&amp;E-Yr3'!F5</f>
        <v>0</v>
      </c>
      <c r="G108" s="760">
        <f>'M&amp;E-Yr3'!G5</f>
        <v>0</v>
      </c>
      <c r="H108" s="760">
        <f>'M&amp;E-Yr3'!H5</f>
        <v>0</v>
      </c>
      <c r="I108" s="760">
        <f>'M&amp;E-Yr3'!I5</f>
        <v>0</v>
      </c>
      <c r="J108" s="760">
        <f>'M&amp;E-Yr3'!J5</f>
        <v>1200</v>
      </c>
      <c r="K108" s="760">
        <f>'M&amp;E-Yr3'!K5</f>
        <v>0</v>
      </c>
      <c r="L108" s="760">
        <f>'M&amp;E-Yr3'!L5</f>
        <v>800</v>
      </c>
      <c r="M108" s="760">
        <f>'M&amp;E-Yr3'!M5</f>
        <v>1200</v>
      </c>
      <c r="N108" s="760">
        <f>'M&amp;E-Yr3'!N5</f>
        <v>800</v>
      </c>
      <c r="O108" s="760">
        <f>'M&amp;E-Yr3'!O5</f>
        <v>800</v>
      </c>
      <c r="P108" s="760">
        <f>'M&amp;E-Yr3'!P5</f>
        <v>0</v>
      </c>
      <c r="Q108" s="760">
        <f>'M&amp;E-Yr3'!Q5</f>
        <v>0</v>
      </c>
    </row>
    <row r="109" spans="1:17" ht="10.5">
      <c r="A109" s="334" t="s">
        <v>8</v>
      </c>
      <c r="B109" s="334" t="s">
        <v>58</v>
      </c>
      <c r="C109" s="362" t="str">
        <f>'[3]M&amp;E'!C6</f>
        <v>Uige</v>
      </c>
      <c r="D109" s="365" t="str">
        <f>'[3]M&amp;E'!D6</f>
        <v>Post training supervisions</v>
      </c>
      <c r="E109" s="366">
        <f>'[3]M&amp;E'!E6</f>
        <v>44000</v>
      </c>
      <c r="F109" s="760">
        <f>'M&amp;E-Yr3'!F6</f>
        <v>0</v>
      </c>
      <c r="G109" s="760">
        <f>'M&amp;E-Yr3'!G6</f>
        <v>1600</v>
      </c>
      <c r="H109" s="760">
        <f>'M&amp;E-Yr3'!H6</f>
        <v>6800</v>
      </c>
      <c r="I109" s="760">
        <f>'M&amp;E-Yr3'!I6</f>
        <v>0</v>
      </c>
      <c r="J109" s="760">
        <f>'M&amp;E-Yr3'!J6</f>
        <v>6800</v>
      </c>
      <c r="K109" s="760">
        <f>'M&amp;E-Yr3'!K6</f>
        <v>1600</v>
      </c>
      <c r="L109" s="760">
        <f>'M&amp;E-Yr3'!L6</f>
        <v>0</v>
      </c>
      <c r="M109" s="760">
        <f>'M&amp;E-Yr3'!M6</f>
        <v>6800</v>
      </c>
      <c r="N109" s="760">
        <f>'M&amp;E-Yr3'!N6</f>
        <v>6800</v>
      </c>
      <c r="O109" s="760">
        <f>'M&amp;E-Yr3'!O6</f>
        <v>6800</v>
      </c>
      <c r="P109" s="760">
        <f>'M&amp;E-Yr3'!P6</f>
        <v>0</v>
      </c>
      <c r="Q109" s="760">
        <f>'M&amp;E-Yr3'!Q6</f>
        <v>6800</v>
      </c>
    </row>
    <row r="110" spans="1:17" ht="10.5">
      <c r="A110" s="334" t="s">
        <v>8</v>
      </c>
      <c r="B110" s="334" t="s">
        <v>58</v>
      </c>
      <c r="C110" s="362" t="str">
        <f>'[3]M&amp;E'!C7</f>
        <v>Zaire</v>
      </c>
      <c r="D110" s="365" t="str">
        <f>'[3]M&amp;E'!D7</f>
        <v>Post training supervisions</v>
      </c>
      <c r="E110" s="366">
        <f>'[3]M&amp;E'!E7</f>
        <v>30750</v>
      </c>
      <c r="F110" s="760">
        <f>'M&amp;E-Yr3'!F7</f>
        <v>0</v>
      </c>
      <c r="G110" s="760">
        <f>'M&amp;E-Yr3'!G7</f>
        <v>0</v>
      </c>
      <c r="H110" s="760">
        <f>'M&amp;E-Yr3'!H7</f>
        <v>800</v>
      </c>
      <c r="I110" s="760">
        <f>'M&amp;E-Yr3'!I7</f>
        <v>3950</v>
      </c>
      <c r="J110" s="760">
        <f>'M&amp;E-Yr3'!J7</f>
        <v>0</v>
      </c>
      <c r="K110" s="760">
        <f>'M&amp;E-Yr3'!K7</f>
        <v>3950</v>
      </c>
      <c r="L110" s="760">
        <f>'M&amp;E-Yr3'!L7</f>
        <v>0</v>
      </c>
      <c r="M110" s="760">
        <f>'M&amp;E-Yr3'!M7</f>
        <v>0</v>
      </c>
      <c r="N110" s="760">
        <f>'M&amp;E-Yr3'!N7</f>
        <v>5925</v>
      </c>
      <c r="O110" s="760">
        <f>'M&amp;E-Yr3'!O7</f>
        <v>9525</v>
      </c>
      <c r="P110" s="760">
        <f>'M&amp;E-Yr3'!P7</f>
        <v>0</v>
      </c>
      <c r="Q110" s="760">
        <f>'M&amp;E-Yr3'!Q7</f>
        <v>6600</v>
      </c>
    </row>
    <row r="111" spans="1:17" ht="10.5">
      <c r="A111" s="334" t="s">
        <v>8</v>
      </c>
      <c r="B111" s="334" t="s">
        <v>854</v>
      </c>
      <c r="C111" s="362" t="str">
        <f>'[3]M&amp;E'!C8</f>
        <v>Huambo</v>
      </c>
      <c r="D111" s="365" t="str">
        <f>'[3]M&amp;E'!D8</f>
        <v>MDA supervisions</v>
      </c>
      <c r="E111" s="366">
        <f>'[3]M&amp;E'!E8</f>
        <v>2275</v>
      </c>
      <c r="F111" s="760">
        <f>'M&amp;E-Yr3'!F8</f>
        <v>0</v>
      </c>
      <c r="G111" s="760">
        <f>'M&amp;E-Yr3'!G8</f>
        <v>2275</v>
      </c>
      <c r="H111" s="760">
        <f>'M&amp;E-Yr3'!H8</f>
        <v>0</v>
      </c>
      <c r="I111" s="760">
        <f>'M&amp;E-Yr3'!I8</f>
        <v>0</v>
      </c>
      <c r="J111" s="760">
        <f>'M&amp;E-Yr3'!J8</f>
        <v>0</v>
      </c>
      <c r="K111" s="760">
        <f>'M&amp;E-Yr3'!K8</f>
        <v>0</v>
      </c>
      <c r="L111" s="760">
        <f>'M&amp;E-Yr3'!L8</f>
        <v>0</v>
      </c>
      <c r="M111" s="760">
        <f>'M&amp;E-Yr3'!M8</f>
        <v>0</v>
      </c>
      <c r="N111" s="760">
        <f>'M&amp;E-Yr3'!N8</f>
        <v>0</v>
      </c>
      <c r="O111" s="760">
        <f>'M&amp;E-Yr3'!O8</f>
        <v>0</v>
      </c>
      <c r="P111" s="760">
        <f>'M&amp;E-Yr3'!P8</f>
        <v>0</v>
      </c>
      <c r="Q111" s="760">
        <f>'M&amp;E-Yr3'!Q8</f>
        <v>0</v>
      </c>
    </row>
    <row r="112" spans="1:17" ht="10.5">
      <c r="A112" s="334" t="s">
        <v>8</v>
      </c>
      <c r="B112" s="334" t="s">
        <v>854</v>
      </c>
      <c r="C112" s="362" t="str">
        <f>'[3]M&amp;E'!C9</f>
        <v>Uige</v>
      </c>
      <c r="D112" s="365" t="str">
        <f>'[3]M&amp;E'!D9</f>
        <v>MDA supervisions</v>
      </c>
      <c r="E112" s="366">
        <f>'[3]M&amp;E'!E9</f>
        <v>28500</v>
      </c>
      <c r="F112" s="760">
        <f>'M&amp;E-Yr3'!F9</f>
        <v>0</v>
      </c>
      <c r="G112" s="760">
        <f>'M&amp;E-Yr3'!G9</f>
        <v>0</v>
      </c>
      <c r="H112" s="760">
        <f>'M&amp;E-Yr3'!H9</f>
        <v>9500</v>
      </c>
      <c r="I112" s="760">
        <f>'M&amp;E-Yr3'!I9</f>
        <v>0</v>
      </c>
      <c r="J112" s="760">
        <f>'M&amp;E-Yr3'!J9</f>
        <v>9500</v>
      </c>
      <c r="K112" s="760">
        <f>'M&amp;E-Yr3'!K9</f>
        <v>0</v>
      </c>
      <c r="L112" s="760">
        <f>'M&amp;E-Yr3'!L9</f>
        <v>0</v>
      </c>
      <c r="M112" s="760">
        <f>'M&amp;E-Yr3'!M9</f>
        <v>0</v>
      </c>
      <c r="N112" s="760">
        <f>'M&amp;E-Yr3'!N9</f>
        <v>0</v>
      </c>
      <c r="O112" s="760">
        <f>'M&amp;E-Yr3'!O9</f>
        <v>0</v>
      </c>
      <c r="P112" s="760">
        <f>'M&amp;E-Yr3'!P9</f>
        <v>9500</v>
      </c>
      <c r="Q112" s="760">
        <f>'M&amp;E-Yr3'!Q9</f>
        <v>0</v>
      </c>
    </row>
    <row r="113" spans="1:17" ht="10.5">
      <c r="A113" s="334" t="s">
        <v>8</v>
      </c>
      <c r="B113" s="334" t="s">
        <v>854</v>
      </c>
      <c r="C113" s="362" t="str">
        <f>'[3]M&amp;E'!C10</f>
        <v>Zaire</v>
      </c>
      <c r="D113" s="365" t="str">
        <f>'[3]M&amp;E'!D10</f>
        <v>MDA supervisions</v>
      </c>
      <c r="E113" s="366">
        <f>'[3]M&amp;E'!E10</f>
        <v>8600</v>
      </c>
      <c r="F113" s="760">
        <f>'M&amp;E-Yr3'!F10</f>
        <v>0</v>
      </c>
      <c r="G113" s="760">
        <f>'M&amp;E-Yr3'!G10</f>
        <v>0</v>
      </c>
      <c r="H113" s="760">
        <f>'M&amp;E-Yr3'!H10</f>
        <v>0</v>
      </c>
      <c r="I113" s="760">
        <f>'M&amp;E-Yr3'!I10</f>
        <v>0</v>
      </c>
      <c r="J113" s="760">
        <f>'M&amp;E-Yr3'!J10</f>
        <v>8600</v>
      </c>
      <c r="K113" s="760">
        <f>'M&amp;E-Yr3'!K10</f>
        <v>0</v>
      </c>
      <c r="L113" s="760">
        <f>'M&amp;E-Yr3'!L10</f>
        <v>0</v>
      </c>
      <c r="M113" s="760">
        <f>'M&amp;E-Yr3'!M10</f>
        <v>0</v>
      </c>
      <c r="N113" s="760">
        <f>'M&amp;E-Yr3'!N10</f>
        <v>0</v>
      </c>
      <c r="O113" s="760">
        <f>'M&amp;E-Yr3'!O10</f>
        <v>0</v>
      </c>
      <c r="P113" s="760">
        <f>'M&amp;E-Yr3'!P10</f>
        <v>0</v>
      </c>
      <c r="Q113" s="760">
        <f>'M&amp;E-Yr3'!Q10</f>
        <v>0</v>
      </c>
    </row>
    <row r="114" spans="1:17" ht="10.5">
      <c r="A114" s="334" t="s">
        <v>8</v>
      </c>
      <c r="B114" s="334" t="s">
        <v>854</v>
      </c>
      <c r="C114" s="362" t="str">
        <f>'[3]M&amp;E'!C11</f>
        <v>Bie</v>
      </c>
      <c r="D114" s="365" t="str">
        <f>'[3]M&amp;E'!D11</f>
        <v>MDA supervisions</v>
      </c>
      <c r="E114" s="366">
        <f>'[3]M&amp;E'!E11</f>
        <v>8875</v>
      </c>
      <c r="F114" s="760">
        <f>'M&amp;E-Yr3'!F11</f>
        <v>0</v>
      </c>
      <c r="G114" s="760">
        <f>'M&amp;E-Yr3'!G11</f>
        <v>0</v>
      </c>
      <c r="H114" s="760">
        <f>'M&amp;E-Yr3'!H11</f>
        <v>0</v>
      </c>
      <c r="I114" s="760">
        <f>'M&amp;E-Yr3'!I11</f>
        <v>8875</v>
      </c>
      <c r="J114" s="760">
        <f>'M&amp;E-Yr3'!J11</f>
        <v>0</v>
      </c>
      <c r="K114" s="760">
        <f>'M&amp;E-Yr3'!K11</f>
        <v>0</v>
      </c>
      <c r="L114" s="760">
        <f>'M&amp;E-Yr3'!L11</f>
        <v>0</v>
      </c>
      <c r="M114" s="760">
        <f>'M&amp;E-Yr3'!M11</f>
        <v>0</v>
      </c>
      <c r="N114" s="760">
        <f>'M&amp;E-Yr3'!N11</f>
        <v>0</v>
      </c>
      <c r="O114" s="760">
        <f>'M&amp;E-Yr3'!O11</f>
        <v>0</v>
      </c>
      <c r="P114" s="760">
        <f>'M&amp;E-Yr3'!P11</f>
        <v>0</v>
      </c>
      <c r="Q114" s="760">
        <f>'M&amp;E-Yr3'!Q11</f>
        <v>0</v>
      </c>
    </row>
    <row r="115" spans="1:17" ht="10.5">
      <c r="A115" s="334" t="s">
        <v>8</v>
      </c>
      <c r="B115" s="334" t="s">
        <v>854</v>
      </c>
      <c r="C115" s="367" t="str">
        <f>'[3]M&amp;E'!C12</f>
        <v>Other</v>
      </c>
      <c r="D115" s="368" t="str">
        <f>'[3]M&amp;E'!D12</f>
        <v>MDA supervisions</v>
      </c>
      <c r="E115" s="369">
        <f>'[3]M&amp;E'!E12</f>
        <v>30500</v>
      </c>
      <c r="F115" s="760">
        <f>'M&amp;E-Yr3'!F12</f>
        <v>0</v>
      </c>
      <c r="G115" s="760">
        <f>'M&amp;E-Yr3'!G12</f>
        <v>0</v>
      </c>
      <c r="H115" s="760">
        <f>'M&amp;E-Yr3'!H12</f>
        <v>0</v>
      </c>
      <c r="I115" s="760">
        <f>'M&amp;E-Yr3'!I12</f>
        <v>0</v>
      </c>
      <c r="J115" s="760">
        <f>'M&amp;E-Yr3'!J12</f>
        <v>15250</v>
      </c>
      <c r="K115" s="760">
        <f>'M&amp;E-Yr3'!K12</f>
        <v>15250</v>
      </c>
      <c r="L115" s="760">
        <f>'M&amp;E-Yr3'!L12</f>
        <v>0</v>
      </c>
      <c r="M115" s="760">
        <f>'M&amp;E-Yr3'!M12</f>
        <v>0</v>
      </c>
      <c r="N115" s="760">
        <f>'M&amp;E-Yr3'!N12</f>
        <v>0</v>
      </c>
      <c r="O115" s="760">
        <f>'M&amp;E-Yr3'!O12</f>
        <v>0</v>
      </c>
      <c r="P115" s="760">
        <f>'M&amp;E-Yr3'!P12</f>
        <v>0</v>
      </c>
      <c r="Q115" s="760">
        <f>'M&amp;E-Yr3'!Q12</f>
        <v>0</v>
      </c>
    </row>
    <row r="116" spans="3:4" ht="10.5">
      <c r="C116" s="334"/>
      <c r="D116" s="331"/>
    </row>
    <row r="117" spans="1:17" ht="10.5">
      <c r="A117" s="372"/>
      <c r="B117" s="372"/>
      <c r="C117" s="372"/>
      <c r="D117" s="373" t="s">
        <v>1264</v>
      </c>
      <c r="E117" s="374">
        <f aca="true" t="shared" si="0" ref="E117:Q117">SUM(E9:E116)</f>
        <v>2116407.79</v>
      </c>
      <c r="F117" s="374">
        <f t="shared" si="0"/>
        <v>159287.41999999998</v>
      </c>
      <c r="G117" s="374">
        <f t="shared" si="0"/>
        <v>150808.66999999998</v>
      </c>
      <c r="H117" s="374">
        <f t="shared" si="0"/>
        <v>174401.16999999998</v>
      </c>
      <c r="I117" s="374">
        <f t="shared" si="0"/>
        <v>165978.66999999998</v>
      </c>
      <c r="J117" s="374">
        <f t="shared" si="0"/>
        <v>313913.67</v>
      </c>
      <c r="K117" s="374">
        <f t="shared" si="0"/>
        <v>282803.67</v>
      </c>
      <c r="L117" s="374">
        <f t="shared" si="0"/>
        <v>160993.66999999998</v>
      </c>
      <c r="M117" s="374">
        <f t="shared" si="0"/>
        <v>168848.66999999998</v>
      </c>
      <c r="N117" s="374">
        <f t="shared" si="0"/>
        <v>142936.16999999998</v>
      </c>
      <c r="O117" s="374">
        <f t="shared" si="0"/>
        <v>108673.67</v>
      </c>
      <c r="P117" s="374">
        <f t="shared" si="0"/>
        <v>128313.67</v>
      </c>
      <c r="Q117" s="374">
        <f t="shared" si="0"/>
        <v>159448.66999999998</v>
      </c>
    </row>
    <row r="118" spans="3:4" ht="10.5">
      <c r="C118" s="334"/>
      <c r="D118" s="331"/>
    </row>
    <row r="119" spans="1:17" ht="10.5">
      <c r="A119" s="334" t="s">
        <v>35</v>
      </c>
      <c r="B119" s="334" t="s">
        <v>59</v>
      </c>
      <c r="C119" s="334"/>
      <c r="D119" s="375" t="s">
        <v>500</v>
      </c>
      <c r="E119" s="376">
        <f>E117*0.1</f>
        <v>211640.779</v>
      </c>
      <c r="F119" s="376">
        <f aca="true" t="shared" si="1" ref="F119:Q119">F117*0.1</f>
        <v>15928.741999999998</v>
      </c>
      <c r="G119" s="376">
        <f t="shared" si="1"/>
        <v>15080.866999999998</v>
      </c>
      <c r="H119" s="376">
        <f t="shared" si="1"/>
        <v>17440.117</v>
      </c>
      <c r="I119" s="376">
        <f t="shared" si="1"/>
        <v>16597.867</v>
      </c>
      <c r="J119" s="376">
        <f t="shared" si="1"/>
        <v>31391.367</v>
      </c>
      <c r="K119" s="376">
        <f t="shared" si="1"/>
        <v>28280.367</v>
      </c>
      <c r="L119" s="376">
        <f t="shared" si="1"/>
        <v>16099.366999999998</v>
      </c>
      <c r="M119" s="376">
        <f t="shared" si="1"/>
        <v>16884.867</v>
      </c>
      <c r="N119" s="376">
        <f t="shared" si="1"/>
        <v>14293.616999999998</v>
      </c>
      <c r="O119" s="376">
        <f t="shared" si="1"/>
        <v>10867.367</v>
      </c>
      <c r="P119" s="376">
        <f t="shared" si="1"/>
        <v>12831.367</v>
      </c>
      <c r="Q119" s="376">
        <f t="shared" si="1"/>
        <v>15944.866999999998</v>
      </c>
    </row>
    <row r="120" spans="3:4" ht="10.5">
      <c r="C120" s="334"/>
      <c r="D120" s="331"/>
    </row>
    <row r="121" spans="1:17" ht="10.5">
      <c r="A121" s="372"/>
      <c r="B121" s="372"/>
      <c r="C121" s="372"/>
      <c r="D121" s="373" t="s">
        <v>80</v>
      </c>
      <c r="E121" s="377">
        <f>SUM(E117:E120)</f>
        <v>2328048.569</v>
      </c>
      <c r="F121" s="377">
        <f aca="true" t="shared" si="2" ref="F121:Q121">SUM(F117:F120)</f>
        <v>175216.16199999998</v>
      </c>
      <c r="G121" s="377">
        <f t="shared" si="2"/>
        <v>165889.53699999998</v>
      </c>
      <c r="H121" s="377">
        <f t="shared" si="2"/>
        <v>191841.28699999998</v>
      </c>
      <c r="I121" s="377">
        <f t="shared" si="2"/>
        <v>182576.53699999998</v>
      </c>
      <c r="J121" s="377">
        <f t="shared" si="2"/>
        <v>345305.037</v>
      </c>
      <c r="K121" s="377">
        <f t="shared" si="2"/>
        <v>311084.037</v>
      </c>
      <c r="L121" s="377">
        <f t="shared" si="2"/>
        <v>177093.03699999998</v>
      </c>
      <c r="M121" s="377">
        <f t="shared" si="2"/>
        <v>185733.53699999998</v>
      </c>
      <c r="N121" s="377">
        <f t="shared" si="2"/>
        <v>157229.78699999998</v>
      </c>
      <c r="O121" s="377">
        <f t="shared" si="2"/>
        <v>119541.037</v>
      </c>
      <c r="P121" s="377">
        <f t="shared" si="2"/>
        <v>141145.037</v>
      </c>
      <c r="Q121" s="377">
        <f t="shared" si="2"/>
        <v>175393.53699999998</v>
      </c>
    </row>
  </sheetData>
  <sheetProtection/>
  <mergeCells count="10">
    <mergeCell ref="C1:Q1"/>
    <mergeCell ref="C2:Q2"/>
    <mergeCell ref="C3:Q3"/>
    <mergeCell ref="C4:Q4"/>
    <mergeCell ref="C5:Q5"/>
    <mergeCell ref="A7:B7"/>
    <mergeCell ref="F7:H7"/>
    <mergeCell ref="I7:K7"/>
    <mergeCell ref="L7:N7"/>
    <mergeCell ref="O7:Q7"/>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R171"/>
  <sheetViews>
    <sheetView workbookViewId="0" topLeftCell="A1">
      <selection activeCell="G19" sqref="G19"/>
    </sheetView>
  </sheetViews>
  <sheetFormatPr defaultColWidth="11.421875" defaultRowHeight="15"/>
  <sheetData>
    <row r="1" spans="1:18" ht="13.5">
      <c r="A1" s="564"/>
      <c r="B1" s="564"/>
      <c r="C1" s="564"/>
      <c r="D1" s="564"/>
      <c r="E1" s="720"/>
      <c r="F1" s="564"/>
      <c r="G1" s="564"/>
      <c r="H1" s="564"/>
      <c r="I1" s="564"/>
      <c r="J1" s="564"/>
      <c r="K1" s="564"/>
      <c r="L1" s="564"/>
      <c r="M1" s="564"/>
      <c r="N1" s="564"/>
      <c r="O1" s="564"/>
      <c r="P1" s="564"/>
      <c r="Q1" s="564"/>
      <c r="R1" s="564"/>
    </row>
    <row r="2" spans="1:18" ht="13.5">
      <c r="A2" s="564"/>
      <c r="B2" s="564"/>
      <c r="C2" s="564"/>
      <c r="D2" s="564"/>
      <c r="E2" s="565"/>
      <c r="F2" s="834" t="s">
        <v>1245</v>
      </c>
      <c r="G2" s="835"/>
      <c r="H2" s="835"/>
      <c r="I2" s="835" t="s">
        <v>1246</v>
      </c>
      <c r="J2" s="835"/>
      <c r="K2" s="835"/>
      <c r="L2" s="835" t="s">
        <v>1247</v>
      </c>
      <c r="M2" s="835"/>
      <c r="N2" s="835"/>
      <c r="O2" s="835" t="s">
        <v>1248</v>
      </c>
      <c r="P2" s="835"/>
      <c r="Q2" s="835"/>
      <c r="R2" s="564"/>
    </row>
    <row r="3" spans="1:18" ht="13.5">
      <c r="A3" s="831" t="s">
        <v>1482</v>
      </c>
      <c r="B3" s="832"/>
      <c r="C3" s="832"/>
      <c r="D3" s="833"/>
      <c r="E3" s="685" t="s">
        <v>799</v>
      </c>
      <c r="F3" s="685" t="s">
        <v>1250</v>
      </c>
      <c r="G3" s="685" t="s">
        <v>1251</v>
      </c>
      <c r="H3" s="685" t="s">
        <v>1252</v>
      </c>
      <c r="I3" s="685" t="s">
        <v>1253</v>
      </c>
      <c r="J3" s="685" t="s">
        <v>1254</v>
      </c>
      <c r="K3" s="685" t="s">
        <v>1255</v>
      </c>
      <c r="L3" s="685" t="s">
        <v>1256</v>
      </c>
      <c r="M3" s="685" t="s">
        <v>1257</v>
      </c>
      <c r="N3" s="685" t="s">
        <v>1258</v>
      </c>
      <c r="O3" s="685" t="s">
        <v>1259</v>
      </c>
      <c r="P3" s="685" t="s">
        <v>1260</v>
      </c>
      <c r="Q3" s="685" t="s">
        <v>1261</v>
      </c>
      <c r="R3" s="549"/>
    </row>
    <row r="4" spans="1:18" ht="13.5">
      <c r="A4" s="721" t="s">
        <v>1483</v>
      </c>
      <c r="B4" s="459" t="s">
        <v>1352</v>
      </c>
      <c r="C4" s="640" t="s">
        <v>1462</v>
      </c>
      <c r="D4" s="449" t="s">
        <v>1484</v>
      </c>
      <c r="E4" s="722">
        <f aca="true" t="shared" si="0" ref="E4:E10">SUM(F4:Q4)</f>
        <v>25800</v>
      </c>
      <c r="F4" s="723">
        <f>4300/2</f>
        <v>2150</v>
      </c>
      <c r="G4" s="723">
        <f aca="true" t="shared" si="1" ref="G4:Q4">4300/2</f>
        <v>2150</v>
      </c>
      <c r="H4" s="723">
        <f t="shared" si="1"/>
        <v>2150</v>
      </c>
      <c r="I4" s="723">
        <f t="shared" si="1"/>
        <v>2150</v>
      </c>
      <c r="J4" s="723">
        <f t="shared" si="1"/>
        <v>2150</v>
      </c>
      <c r="K4" s="723">
        <f t="shared" si="1"/>
        <v>2150</v>
      </c>
      <c r="L4" s="723">
        <f t="shared" si="1"/>
        <v>2150</v>
      </c>
      <c r="M4" s="723">
        <f t="shared" si="1"/>
        <v>2150</v>
      </c>
      <c r="N4" s="723">
        <f t="shared" si="1"/>
        <v>2150</v>
      </c>
      <c r="O4" s="723">
        <f t="shared" si="1"/>
        <v>2150</v>
      </c>
      <c r="P4" s="723">
        <f t="shared" si="1"/>
        <v>2150</v>
      </c>
      <c r="Q4" s="723">
        <f t="shared" si="1"/>
        <v>2150</v>
      </c>
      <c r="R4" s="724"/>
    </row>
    <row r="5" spans="1:18" ht="13.5">
      <c r="A5" s="725" t="s">
        <v>1483</v>
      </c>
      <c r="B5" s="300" t="s">
        <v>1352</v>
      </c>
      <c r="C5" s="641" t="s">
        <v>1462</v>
      </c>
      <c r="D5" s="452" t="s">
        <v>1485</v>
      </c>
      <c r="E5" s="726">
        <f t="shared" si="0"/>
        <v>24000</v>
      </c>
      <c r="F5" s="702">
        <f>4000/2</f>
        <v>2000</v>
      </c>
      <c r="G5" s="702">
        <f aca="true" t="shared" si="2" ref="G5:Q5">4000/2</f>
        <v>2000</v>
      </c>
      <c r="H5" s="702">
        <f t="shared" si="2"/>
        <v>2000</v>
      </c>
      <c r="I5" s="702">
        <f t="shared" si="2"/>
        <v>2000</v>
      </c>
      <c r="J5" s="702">
        <f t="shared" si="2"/>
        <v>2000</v>
      </c>
      <c r="K5" s="702">
        <f t="shared" si="2"/>
        <v>2000</v>
      </c>
      <c r="L5" s="702">
        <f t="shared" si="2"/>
        <v>2000</v>
      </c>
      <c r="M5" s="702">
        <f t="shared" si="2"/>
        <v>2000</v>
      </c>
      <c r="N5" s="702">
        <f t="shared" si="2"/>
        <v>2000</v>
      </c>
      <c r="O5" s="702">
        <f t="shared" si="2"/>
        <v>2000</v>
      </c>
      <c r="P5" s="702">
        <f t="shared" si="2"/>
        <v>2000</v>
      </c>
      <c r="Q5" s="702">
        <f t="shared" si="2"/>
        <v>2000</v>
      </c>
      <c r="R5" s="703"/>
    </row>
    <row r="6" spans="1:18" ht="13.5">
      <c r="A6" s="725" t="s">
        <v>1483</v>
      </c>
      <c r="B6" s="727" t="s">
        <v>536</v>
      </c>
      <c r="C6" s="641" t="s">
        <v>1462</v>
      </c>
      <c r="D6" s="452" t="s">
        <v>1486</v>
      </c>
      <c r="E6" s="726">
        <f t="shared" si="0"/>
        <v>45600</v>
      </c>
      <c r="F6" s="702">
        <v>3800</v>
      </c>
      <c r="G6" s="702">
        <v>3800</v>
      </c>
      <c r="H6" s="702">
        <v>3800</v>
      </c>
      <c r="I6" s="702">
        <v>3800</v>
      </c>
      <c r="J6" s="702">
        <v>3800</v>
      </c>
      <c r="K6" s="702">
        <v>3800</v>
      </c>
      <c r="L6" s="702">
        <v>3800</v>
      </c>
      <c r="M6" s="702">
        <v>3800</v>
      </c>
      <c r="N6" s="702">
        <v>3800</v>
      </c>
      <c r="O6" s="702">
        <v>3800</v>
      </c>
      <c r="P6" s="702">
        <v>3800</v>
      </c>
      <c r="Q6" s="702">
        <v>3800</v>
      </c>
      <c r="R6" s="703"/>
    </row>
    <row r="7" spans="1:18" ht="13.5">
      <c r="A7" s="725" t="s">
        <v>1483</v>
      </c>
      <c r="B7" s="727" t="s">
        <v>1487</v>
      </c>
      <c r="C7" s="641" t="s">
        <v>1462</v>
      </c>
      <c r="D7" s="455" t="s">
        <v>1488</v>
      </c>
      <c r="E7" s="728">
        <f t="shared" si="0"/>
        <v>41800</v>
      </c>
      <c r="F7" s="729">
        <v>0</v>
      </c>
      <c r="G7" s="729">
        <v>3800</v>
      </c>
      <c r="H7" s="729">
        <v>3800</v>
      </c>
      <c r="I7" s="729">
        <v>3800</v>
      </c>
      <c r="J7" s="729">
        <v>3800</v>
      </c>
      <c r="K7" s="729">
        <v>3800</v>
      </c>
      <c r="L7" s="729">
        <v>3800</v>
      </c>
      <c r="M7" s="729">
        <v>3800</v>
      </c>
      <c r="N7" s="729">
        <v>3800</v>
      </c>
      <c r="O7" s="729">
        <v>3800</v>
      </c>
      <c r="P7" s="729">
        <v>3800</v>
      </c>
      <c r="Q7" s="729">
        <v>3800</v>
      </c>
      <c r="R7" s="730"/>
    </row>
    <row r="8" spans="1:18" ht="13.5">
      <c r="A8" s="725" t="s">
        <v>1483</v>
      </c>
      <c r="B8" s="300" t="s">
        <v>1467</v>
      </c>
      <c r="C8" s="641" t="s">
        <v>1462</v>
      </c>
      <c r="D8" s="452" t="s">
        <v>1489</v>
      </c>
      <c r="E8" s="726">
        <f t="shared" si="0"/>
        <v>46000</v>
      </c>
      <c r="F8" s="702">
        <v>2000</v>
      </c>
      <c r="G8" s="702">
        <v>4000</v>
      </c>
      <c r="H8" s="702">
        <v>4000</v>
      </c>
      <c r="I8" s="702">
        <v>4000</v>
      </c>
      <c r="J8" s="702">
        <v>4000</v>
      </c>
      <c r="K8" s="702">
        <v>4000</v>
      </c>
      <c r="L8" s="702">
        <v>4000</v>
      </c>
      <c r="M8" s="702">
        <v>4000</v>
      </c>
      <c r="N8" s="702">
        <v>4000</v>
      </c>
      <c r="O8" s="702">
        <v>4000</v>
      </c>
      <c r="P8" s="702">
        <v>4000</v>
      </c>
      <c r="Q8" s="702">
        <v>4000</v>
      </c>
      <c r="R8" s="703"/>
    </row>
    <row r="9" spans="1:18" ht="13.5">
      <c r="A9" s="725" t="s">
        <v>1483</v>
      </c>
      <c r="B9" s="300" t="s">
        <v>1467</v>
      </c>
      <c r="C9" s="641" t="s">
        <v>1462</v>
      </c>
      <c r="D9" s="455" t="s">
        <v>1490</v>
      </c>
      <c r="E9" s="726">
        <f t="shared" si="0"/>
        <v>42000</v>
      </c>
      <c r="F9" s="729">
        <v>0</v>
      </c>
      <c r="G9" s="729">
        <v>2000</v>
      </c>
      <c r="H9" s="729">
        <v>4000</v>
      </c>
      <c r="I9" s="729">
        <v>4000</v>
      </c>
      <c r="J9" s="729">
        <v>4000</v>
      </c>
      <c r="K9" s="729">
        <v>4000</v>
      </c>
      <c r="L9" s="729">
        <v>4000</v>
      </c>
      <c r="M9" s="729">
        <v>4000</v>
      </c>
      <c r="N9" s="729">
        <v>4000</v>
      </c>
      <c r="O9" s="729">
        <v>4000</v>
      </c>
      <c r="P9" s="729">
        <v>4000</v>
      </c>
      <c r="Q9" s="729">
        <v>4000</v>
      </c>
      <c r="R9" s="730"/>
    </row>
    <row r="10" spans="1:18" ht="13.5">
      <c r="A10" s="731" t="s">
        <v>1483</v>
      </c>
      <c r="B10" s="465" t="s">
        <v>1467</v>
      </c>
      <c r="C10" s="641" t="s">
        <v>1462</v>
      </c>
      <c r="D10" s="704" t="s">
        <v>1491</v>
      </c>
      <c r="E10" s="732">
        <f t="shared" si="0"/>
        <v>45600</v>
      </c>
      <c r="F10" s="733">
        <v>3800</v>
      </c>
      <c r="G10" s="733">
        <v>3800</v>
      </c>
      <c r="H10" s="733">
        <v>3800</v>
      </c>
      <c r="I10" s="733">
        <v>3800</v>
      </c>
      <c r="J10" s="733">
        <v>3800</v>
      </c>
      <c r="K10" s="733">
        <v>3800</v>
      </c>
      <c r="L10" s="733">
        <v>3800</v>
      </c>
      <c r="M10" s="733">
        <v>3800</v>
      </c>
      <c r="N10" s="733">
        <v>3800</v>
      </c>
      <c r="O10" s="733">
        <v>3800</v>
      </c>
      <c r="P10" s="733">
        <v>3800</v>
      </c>
      <c r="Q10" s="733">
        <v>3800</v>
      </c>
      <c r="R10" s="734"/>
    </row>
    <row r="11" spans="1:18" ht="13.5">
      <c r="A11" s="536" t="s">
        <v>1483</v>
      </c>
      <c r="B11" s="476" t="s">
        <v>1467</v>
      </c>
      <c r="C11" s="686" t="s">
        <v>1462</v>
      </c>
      <c r="D11" s="735" t="s">
        <v>1492</v>
      </c>
      <c r="E11" s="736">
        <f>SUM(E4:E10)</f>
        <v>270800</v>
      </c>
      <c r="F11" s="737">
        <f>SUM(F4:F10)</f>
        <v>13750</v>
      </c>
      <c r="G11" s="737">
        <f aca="true" t="shared" si="3" ref="G11:Q11">SUM(G4:G10)</f>
        <v>21550</v>
      </c>
      <c r="H11" s="737">
        <f t="shared" si="3"/>
        <v>23550</v>
      </c>
      <c r="I11" s="737">
        <f t="shared" si="3"/>
        <v>23550</v>
      </c>
      <c r="J11" s="737">
        <f t="shared" si="3"/>
        <v>23550</v>
      </c>
      <c r="K11" s="737">
        <f t="shared" si="3"/>
        <v>23550</v>
      </c>
      <c r="L11" s="737">
        <f t="shared" si="3"/>
        <v>23550</v>
      </c>
      <c r="M11" s="737">
        <f t="shared" si="3"/>
        <v>23550</v>
      </c>
      <c r="N11" s="737">
        <f t="shared" si="3"/>
        <v>23550</v>
      </c>
      <c r="O11" s="737">
        <f t="shared" si="3"/>
        <v>23550</v>
      </c>
      <c r="P11" s="737">
        <f t="shared" si="3"/>
        <v>23550</v>
      </c>
      <c r="Q11" s="737">
        <f t="shared" si="3"/>
        <v>23550</v>
      </c>
      <c r="R11" s="738"/>
    </row>
    <row r="12" spans="1:18" ht="13.5">
      <c r="A12" s="506"/>
      <c r="B12" s="506"/>
      <c r="C12" s="506"/>
      <c r="D12" s="739"/>
      <c r="E12" s="740"/>
      <c r="F12" s="740"/>
      <c r="G12" s="740"/>
      <c r="H12" s="740"/>
      <c r="I12" s="740"/>
      <c r="J12" s="740"/>
      <c r="K12" s="740"/>
      <c r="L12" s="740"/>
      <c r="M12" s="740"/>
      <c r="N12" s="740"/>
      <c r="O12" s="740"/>
      <c r="P12" s="740"/>
      <c r="Q12" s="740"/>
      <c r="R12" s="739"/>
    </row>
    <row r="13" spans="1:18" ht="13.5">
      <c r="A13" s="506"/>
      <c r="B13" s="506"/>
      <c r="C13" s="506"/>
      <c r="D13" s="739"/>
      <c r="E13" s="740"/>
      <c r="F13" s="740"/>
      <c r="G13" s="740"/>
      <c r="H13" s="740"/>
      <c r="I13" s="740"/>
      <c r="J13" s="740"/>
      <c r="K13" s="740"/>
      <c r="L13" s="740"/>
      <c r="M13" s="740"/>
      <c r="N13" s="740"/>
      <c r="O13" s="740"/>
      <c r="P13" s="740"/>
      <c r="Q13" s="740"/>
      <c r="R13" s="739"/>
    </row>
    <row r="14" spans="1:18" ht="13.5">
      <c r="A14" s="836" t="s">
        <v>1493</v>
      </c>
      <c r="B14" s="837"/>
      <c r="C14" s="837"/>
      <c r="D14" s="838"/>
      <c r="E14" s="685" t="s">
        <v>799</v>
      </c>
      <c r="F14" s="685" t="s">
        <v>1250</v>
      </c>
      <c r="G14" s="685" t="s">
        <v>1251</v>
      </c>
      <c r="H14" s="685" t="s">
        <v>1252</v>
      </c>
      <c r="I14" s="685" t="s">
        <v>1253</v>
      </c>
      <c r="J14" s="685" t="s">
        <v>1254</v>
      </c>
      <c r="K14" s="685" t="s">
        <v>1255</v>
      </c>
      <c r="L14" s="685" t="s">
        <v>1256</v>
      </c>
      <c r="M14" s="685" t="s">
        <v>1257</v>
      </c>
      <c r="N14" s="685" t="s">
        <v>1258</v>
      </c>
      <c r="O14" s="685" t="s">
        <v>1259</v>
      </c>
      <c r="P14" s="685" t="s">
        <v>1260</v>
      </c>
      <c r="Q14" s="685" t="s">
        <v>1261</v>
      </c>
      <c r="R14" s="730"/>
    </row>
    <row r="15" spans="1:18" ht="13.5">
      <c r="A15" s="721" t="s">
        <v>1483</v>
      </c>
      <c r="B15" s="459" t="s">
        <v>1352</v>
      </c>
      <c r="C15" s="640" t="s">
        <v>1462</v>
      </c>
      <c r="D15" s="449" t="s">
        <v>1494</v>
      </c>
      <c r="E15" s="701">
        <f>SUM(F15:Q15)</f>
        <v>4000</v>
      </c>
      <c r="F15" s="702">
        <v>1000</v>
      </c>
      <c r="G15" s="717">
        <v>2000</v>
      </c>
      <c r="H15" s="717">
        <v>0</v>
      </c>
      <c r="I15" s="717">
        <v>0</v>
      </c>
      <c r="J15" s="717">
        <v>0</v>
      </c>
      <c r="K15" s="717">
        <v>250</v>
      </c>
      <c r="L15" s="717">
        <v>0</v>
      </c>
      <c r="M15" s="702">
        <f>250*2</f>
        <v>500</v>
      </c>
      <c r="N15" s="717">
        <v>0</v>
      </c>
      <c r="O15" s="717">
        <v>250</v>
      </c>
      <c r="P15" s="717">
        <v>0</v>
      </c>
      <c r="Q15" s="717">
        <v>0</v>
      </c>
      <c r="R15" s="703"/>
    </row>
    <row r="16" spans="1:18" ht="13.5">
      <c r="A16" s="725" t="s">
        <v>1483</v>
      </c>
      <c r="B16" s="300" t="s">
        <v>1352</v>
      </c>
      <c r="C16" s="641" t="s">
        <v>1462</v>
      </c>
      <c r="D16" s="452" t="s">
        <v>1495</v>
      </c>
      <c r="E16" s="741">
        <f>SUM(F16:Q16)</f>
        <v>6900</v>
      </c>
      <c r="F16" s="702">
        <v>400</v>
      </c>
      <c r="G16" s="702">
        <v>500</v>
      </c>
      <c r="H16" s="702">
        <v>600</v>
      </c>
      <c r="I16" s="702">
        <v>600</v>
      </c>
      <c r="J16" s="702">
        <v>600</v>
      </c>
      <c r="K16" s="702">
        <v>600</v>
      </c>
      <c r="L16" s="702">
        <v>600</v>
      </c>
      <c r="M16" s="702">
        <v>600</v>
      </c>
      <c r="N16" s="702">
        <v>600</v>
      </c>
      <c r="O16" s="702">
        <v>600</v>
      </c>
      <c r="P16" s="702">
        <v>600</v>
      </c>
      <c r="Q16" s="702">
        <v>600</v>
      </c>
      <c r="R16" s="742"/>
    </row>
    <row r="17" spans="1:18" ht="13.5">
      <c r="A17" s="725" t="s">
        <v>1483</v>
      </c>
      <c r="B17" s="300" t="s">
        <v>1352</v>
      </c>
      <c r="C17" s="641" t="s">
        <v>1462</v>
      </c>
      <c r="D17" s="452" t="s">
        <v>1496</v>
      </c>
      <c r="E17" s="741">
        <f>SUM(F17:Q17)</f>
        <v>900</v>
      </c>
      <c r="F17" s="702">
        <v>0</v>
      </c>
      <c r="G17" s="702">
        <v>0</v>
      </c>
      <c r="H17" s="702">
        <v>0</v>
      </c>
      <c r="I17" s="702">
        <v>0</v>
      </c>
      <c r="J17" s="702">
        <v>0</v>
      </c>
      <c r="K17" s="702">
        <v>300</v>
      </c>
      <c r="L17" s="702">
        <v>0</v>
      </c>
      <c r="M17" s="702">
        <v>300</v>
      </c>
      <c r="N17" s="702">
        <v>0</v>
      </c>
      <c r="O17" s="702">
        <v>300</v>
      </c>
      <c r="P17" s="702">
        <v>0</v>
      </c>
      <c r="Q17" s="702">
        <v>0</v>
      </c>
      <c r="R17" s="703"/>
    </row>
    <row r="18" spans="1:18" ht="13.5">
      <c r="A18" s="725" t="s">
        <v>1483</v>
      </c>
      <c r="B18" s="300" t="s">
        <v>1352</v>
      </c>
      <c r="C18" s="641" t="s">
        <v>1462</v>
      </c>
      <c r="D18" s="452" t="s">
        <v>1497</v>
      </c>
      <c r="E18" s="741">
        <f>SUM(F18:Q18)</f>
        <v>7500</v>
      </c>
      <c r="F18" s="717">
        <v>3000</v>
      </c>
      <c r="G18" s="717">
        <v>0</v>
      </c>
      <c r="H18" s="717">
        <v>0</v>
      </c>
      <c r="I18" s="717">
        <v>0</v>
      </c>
      <c r="J18" s="717">
        <v>1500</v>
      </c>
      <c r="K18" s="717">
        <v>0</v>
      </c>
      <c r="L18" s="702">
        <v>1500</v>
      </c>
      <c r="M18" s="717">
        <v>0</v>
      </c>
      <c r="N18" s="717">
        <v>0</v>
      </c>
      <c r="O18" s="717">
        <v>1500</v>
      </c>
      <c r="P18" s="717">
        <v>0</v>
      </c>
      <c r="Q18" s="717">
        <v>0</v>
      </c>
      <c r="R18" s="743"/>
    </row>
    <row r="19" spans="1:18" ht="13.5">
      <c r="A19" s="725" t="s">
        <v>1483</v>
      </c>
      <c r="B19" s="300" t="s">
        <v>1352</v>
      </c>
      <c r="C19" s="641" t="s">
        <v>1462</v>
      </c>
      <c r="D19" s="455" t="s">
        <v>1498</v>
      </c>
      <c r="E19" s="744">
        <f>SUM(F19:Q19)</f>
        <v>2400</v>
      </c>
      <c r="F19" s="729">
        <v>200</v>
      </c>
      <c r="G19" s="729">
        <v>200</v>
      </c>
      <c r="H19" s="729">
        <v>200</v>
      </c>
      <c r="I19" s="729">
        <v>200</v>
      </c>
      <c r="J19" s="729">
        <v>200</v>
      </c>
      <c r="K19" s="729">
        <v>200</v>
      </c>
      <c r="L19" s="729">
        <v>200</v>
      </c>
      <c r="M19" s="729">
        <v>200</v>
      </c>
      <c r="N19" s="729">
        <v>200</v>
      </c>
      <c r="O19" s="729">
        <v>200</v>
      </c>
      <c r="P19" s="729">
        <v>200</v>
      </c>
      <c r="Q19" s="729">
        <v>200</v>
      </c>
      <c r="R19" s="730" t="s">
        <v>1499</v>
      </c>
    </row>
    <row r="20" spans="1:18" ht="13.5">
      <c r="A20" s="536" t="s">
        <v>1483</v>
      </c>
      <c r="B20" s="476" t="s">
        <v>1352</v>
      </c>
      <c r="C20" s="686" t="s">
        <v>1462</v>
      </c>
      <c r="D20" s="735" t="s">
        <v>1500</v>
      </c>
      <c r="E20" s="736">
        <f>SUM(E15:E19)</f>
        <v>21700</v>
      </c>
      <c r="F20" s="737">
        <f>SUM(F15:F19)</f>
        <v>4600</v>
      </c>
      <c r="G20" s="737">
        <f aca="true" t="shared" si="4" ref="G20:Q20">SUM(G15:G19)</f>
        <v>2700</v>
      </c>
      <c r="H20" s="737">
        <f t="shared" si="4"/>
        <v>800</v>
      </c>
      <c r="I20" s="737">
        <f t="shared" si="4"/>
        <v>800</v>
      </c>
      <c r="J20" s="737">
        <f t="shared" si="4"/>
        <v>2300</v>
      </c>
      <c r="K20" s="737">
        <f t="shared" si="4"/>
        <v>1350</v>
      </c>
      <c r="L20" s="737">
        <f t="shared" si="4"/>
        <v>2300</v>
      </c>
      <c r="M20" s="737">
        <f t="shared" si="4"/>
        <v>1600</v>
      </c>
      <c r="N20" s="737">
        <f t="shared" si="4"/>
        <v>800</v>
      </c>
      <c r="O20" s="737">
        <f t="shared" si="4"/>
        <v>2850</v>
      </c>
      <c r="P20" s="737">
        <f t="shared" si="4"/>
        <v>800</v>
      </c>
      <c r="Q20" s="737">
        <f t="shared" si="4"/>
        <v>800</v>
      </c>
      <c r="R20" s="738"/>
    </row>
    <row r="21" spans="1:18" ht="13.5">
      <c r="A21" s="745"/>
      <c r="B21" s="745"/>
      <c r="C21" s="745"/>
      <c r="D21" s="746"/>
      <c r="E21" s="747"/>
      <c r="F21" s="747"/>
      <c r="G21" s="747"/>
      <c r="H21" s="747"/>
      <c r="I21" s="747"/>
      <c r="J21" s="747"/>
      <c r="K21" s="747"/>
      <c r="L21" s="747"/>
      <c r="M21" s="747"/>
      <c r="N21" s="747"/>
      <c r="O21" s="747"/>
      <c r="P21" s="747"/>
      <c r="Q21" s="747"/>
      <c r="R21" s="746"/>
    </row>
    <row r="22" spans="1:18" ht="13.5">
      <c r="A22" s="506"/>
      <c r="B22" s="506"/>
      <c r="C22" s="506"/>
      <c r="D22" s="739"/>
      <c r="E22" s="740"/>
      <c r="F22" s="740"/>
      <c r="G22" s="740"/>
      <c r="H22" s="740"/>
      <c r="I22" s="740"/>
      <c r="J22" s="740"/>
      <c r="K22" s="740"/>
      <c r="L22" s="740"/>
      <c r="M22" s="740"/>
      <c r="N22" s="740"/>
      <c r="O22" s="740"/>
      <c r="P22" s="740"/>
      <c r="Q22" s="740"/>
      <c r="R22" s="739"/>
    </row>
    <row r="23" spans="1:18" ht="13.5">
      <c r="A23" s="831" t="s">
        <v>1501</v>
      </c>
      <c r="B23" s="832"/>
      <c r="C23" s="832"/>
      <c r="D23" s="833"/>
      <c r="E23" s="685" t="s">
        <v>799</v>
      </c>
      <c r="F23" s="685" t="s">
        <v>1250</v>
      </c>
      <c r="G23" s="685" t="s">
        <v>1251</v>
      </c>
      <c r="H23" s="685" t="s">
        <v>1252</v>
      </c>
      <c r="I23" s="685" t="s">
        <v>1253</v>
      </c>
      <c r="J23" s="685" t="s">
        <v>1254</v>
      </c>
      <c r="K23" s="685" t="s">
        <v>1255</v>
      </c>
      <c r="L23" s="685" t="s">
        <v>1256</v>
      </c>
      <c r="M23" s="685" t="s">
        <v>1257</v>
      </c>
      <c r="N23" s="685" t="s">
        <v>1258</v>
      </c>
      <c r="O23" s="685" t="s">
        <v>1259</v>
      </c>
      <c r="P23" s="685" t="s">
        <v>1260</v>
      </c>
      <c r="Q23" s="685" t="s">
        <v>1261</v>
      </c>
      <c r="R23" s="549"/>
    </row>
    <row r="24" spans="1:18" ht="13.5">
      <c r="A24" s="725" t="s">
        <v>1483</v>
      </c>
      <c r="B24" s="300" t="s">
        <v>1352</v>
      </c>
      <c r="C24" s="641" t="s">
        <v>1502</v>
      </c>
      <c r="D24" s="452" t="s">
        <v>1503</v>
      </c>
      <c r="E24" s="741">
        <f>SUM(F24:Q24)</f>
        <v>71298.75</v>
      </c>
      <c r="F24" s="702">
        <f>31.25*30/2+31.25*30/2+31.25*30+31.25*30+18.75*15+43.75*15</f>
        <v>3750</v>
      </c>
      <c r="G24" s="717">
        <f>31.25*30/2+31.25*30/2+32.25*30+31.25*30+43.75*30+18.75*15</f>
        <v>4436.25</v>
      </c>
      <c r="H24" s="717">
        <f aca="true" t="shared" si="5" ref="H24:Q24">31.25*30/2+31.25*30/2+32.25*30+31.25*30+43.75*30+31.25*30+18.75*15+31.25*30</f>
        <v>6311.25</v>
      </c>
      <c r="I24" s="717">
        <f t="shared" si="5"/>
        <v>6311.25</v>
      </c>
      <c r="J24" s="717">
        <f t="shared" si="5"/>
        <v>6311.25</v>
      </c>
      <c r="K24" s="717">
        <f t="shared" si="5"/>
        <v>6311.25</v>
      </c>
      <c r="L24" s="717">
        <f t="shared" si="5"/>
        <v>6311.25</v>
      </c>
      <c r="M24" s="717">
        <f t="shared" si="5"/>
        <v>6311.25</v>
      </c>
      <c r="N24" s="717">
        <f t="shared" si="5"/>
        <v>6311.25</v>
      </c>
      <c r="O24" s="717">
        <f t="shared" si="5"/>
        <v>6311.25</v>
      </c>
      <c r="P24" s="717">
        <f t="shared" si="5"/>
        <v>6311.25</v>
      </c>
      <c r="Q24" s="717">
        <f t="shared" si="5"/>
        <v>6311.25</v>
      </c>
      <c r="R24" s="703"/>
    </row>
    <row r="25" spans="1:18" ht="13.5">
      <c r="A25" s="731" t="s">
        <v>1483</v>
      </c>
      <c r="B25" s="465" t="s">
        <v>1352</v>
      </c>
      <c r="C25" s="642" t="s">
        <v>1502</v>
      </c>
      <c r="D25" s="704" t="s">
        <v>1504</v>
      </c>
      <c r="E25" s="748">
        <f>SUM(F25:Q25)</f>
        <v>650</v>
      </c>
      <c r="F25" s="719">
        <v>650</v>
      </c>
      <c r="G25" s="719">
        <v>0</v>
      </c>
      <c r="H25" s="719">
        <v>0</v>
      </c>
      <c r="I25" s="719">
        <v>0</v>
      </c>
      <c r="J25" s="719">
        <v>0</v>
      </c>
      <c r="K25" s="719">
        <v>0</v>
      </c>
      <c r="L25" s="719">
        <v>0</v>
      </c>
      <c r="M25" s="719">
        <v>0</v>
      </c>
      <c r="N25" s="719">
        <v>0</v>
      </c>
      <c r="O25" s="719">
        <v>0</v>
      </c>
      <c r="P25" s="719">
        <v>0</v>
      </c>
      <c r="Q25" s="719">
        <v>0</v>
      </c>
      <c r="R25" s="734"/>
    </row>
    <row r="26" spans="1:18" ht="13.5">
      <c r="A26" s="536" t="s">
        <v>1483</v>
      </c>
      <c r="B26" s="476" t="s">
        <v>1352</v>
      </c>
      <c r="C26" s="686" t="s">
        <v>1502</v>
      </c>
      <c r="D26" s="735" t="s">
        <v>1505</v>
      </c>
      <c r="E26" s="736">
        <f>SUM(E24:E25)</f>
        <v>71948.75</v>
      </c>
      <c r="F26" s="737">
        <f>SUM(F24:F25)</f>
        <v>4400</v>
      </c>
      <c r="G26" s="737">
        <f aca="true" t="shared" si="6" ref="G26:Q26">SUM(G24:G25)</f>
        <v>4436.25</v>
      </c>
      <c r="H26" s="737">
        <f t="shared" si="6"/>
        <v>6311.25</v>
      </c>
      <c r="I26" s="737">
        <f t="shared" si="6"/>
        <v>6311.25</v>
      </c>
      <c r="J26" s="737">
        <f t="shared" si="6"/>
        <v>6311.25</v>
      </c>
      <c r="K26" s="737">
        <f t="shared" si="6"/>
        <v>6311.25</v>
      </c>
      <c r="L26" s="737">
        <f t="shared" si="6"/>
        <v>6311.25</v>
      </c>
      <c r="M26" s="737">
        <f t="shared" si="6"/>
        <v>6311.25</v>
      </c>
      <c r="N26" s="737">
        <f t="shared" si="6"/>
        <v>6311.25</v>
      </c>
      <c r="O26" s="737">
        <f t="shared" si="6"/>
        <v>6311.25</v>
      </c>
      <c r="P26" s="737">
        <f t="shared" si="6"/>
        <v>6311.25</v>
      </c>
      <c r="Q26" s="737">
        <f t="shared" si="6"/>
        <v>6311.25</v>
      </c>
      <c r="R26" s="738"/>
    </row>
    <row r="27" spans="1:18" ht="13.5">
      <c r="A27" s="506"/>
      <c r="B27" s="506"/>
      <c r="C27" s="506"/>
      <c r="D27" s="749"/>
      <c r="E27" s="740"/>
      <c r="F27" s="740"/>
      <c r="G27" s="740"/>
      <c r="H27" s="740"/>
      <c r="I27" s="740"/>
      <c r="J27" s="740"/>
      <c r="K27" s="740"/>
      <c r="L27" s="740"/>
      <c r="M27" s="740"/>
      <c r="N27" s="740"/>
      <c r="O27" s="740"/>
      <c r="P27" s="740"/>
      <c r="Q27" s="740"/>
      <c r="R27" s="749"/>
    </row>
    <row r="28" spans="1:18" ht="13.5">
      <c r="A28" s="300"/>
      <c r="B28" s="300"/>
      <c r="C28" s="300"/>
      <c r="D28" s="750"/>
      <c r="E28" s="695"/>
      <c r="F28" s="695"/>
      <c r="G28" s="695"/>
      <c r="H28" s="695"/>
      <c r="I28" s="695"/>
      <c r="J28" s="695"/>
      <c r="K28" s="695"/>
      <c r="L28" s="695"/>
      <c r="M28" s="695"/>
      <c r="N28" s="695"/>
      <c r="O28" s="695"/>
      <c r="P28" s="695"/>
      <c r="Q28" s="695"/>
      <c r="R28" s="484"/>
    </row>
    <row r="29" spans="1:18" ht="13.5">
      <c r="A29" s="831" t="s">
        <v>1506</v>
      </c>
      <c r="B29" s="832"/>
      <c r="C29" s="832"/>
      <c r="D29" s="833"/>
      <c r="E29" s="685" t="s">
        <v>799</v>
      </c>
      <c r="F29" s="685" t="s">
        <v>1250</v>
      </c>
      <c r="G29" s="685" t="s">
        <v>1251</v>
      </c>
      <c r="H29" s="685" t="s">
        <v>1252</v>
      </c>
      <c r="I29" s="685" t="s">
        <v>1253</v>
      </c>
      <c r="J29" s="685" t="s">
        <v>1254</v>
      </c>
      <c r="K29" s="685" t="s">
        <v>1255</v>
      </c>
      <c r="L29" s="685" t="s">
        <v>1256</v>
      </c>
      <c r="M29" s="685" t="s">
        <v>1257</v>
      </c>
      <c r="N29" s="685" t="s">
        <v>1258</v>
      </c>
      <c r="O29" s="685" t="s">
        <v>1259</v>
      </c>
      <c r="P29" s="685" t="s">
        <v>1260</v>
      </c>
      <c r="Q29" s="685" t="s">
        <v>1261</v>
      </c>
      <c r="R29" s="549"/>
    </row>
    <row r="30" spans="1:18" ht="13.5">
      <c r="A30" s="300" t="s">
        <v>1483</v>
      </c>
      <c r="B30" s="300" t="s">
        <v>1352</v>
      </c>
      <c r="C30" s="300" t="s">
        <v>1262</v>
      </c>
      <c r="D30" s="452" t="s">
        <v>1507</v>
      </c>
      <c r="E30" s="701">
        <f aca="true" t="shared" si="7" ref="E30:E39">SUM(F30:Q30)</f>
        <v>21150</v>
      </c>
      <c r="F30" s="702">
        <f>2350*0.75</f>
        <v>1762.5</v>
      </c>
      <c r="G30" s="702">
        <f aca="true" t="shared" si="8" ref="G30:Q30">2350*0.75</f>
        <v>1762.5</v>
      </c>
      <c r="H30" s="702">
        <f t="shared" si="8"/>
        <v>1762.5</v>
      </c>
      <c r="I30" s="702">
        <f t="shared" si="8"/>
        <v>1762.5</v>
      </c>
      <c r="J30" s="702">
        <f t="shared" si="8"/>
        <v>1762.5</v>
      </c>
      <c r="K30" s="702">
        <f t="shared" si="8"/>
        <v>1762.5</v>
      </c>
      <c r="L30" s="702">
        <f t="shared" si="8"/>
        <v>1762.5</v>
      </c>
      <c r="M30" s="702">
        <f t="shared" si="8"/>
        <v>1762.5</v>
      </c>
      <c r="N30" s="702">
        <f t="shared" si="8"/>
        <v>1762.5</v>
      </c>
      <c r="O30" s="702">
        <f t="shared" si="8"/>
        <v>1762.5</v>
      </c>
      <c r="P30" s="702">
        <f t="shared" si="8"/>
        <v>1762.5</v>
      </c>
      <c r="Q30" s="702">
        <f t="shared" si="8"/>
        <v>1762.5</v>
      </c>
      <c r="R30" s="703"/>
    </row>
    <row r="31" spans="1:18" ht="13.5">
      <c r="A31" s="300" t="s">
        <v>1483</v>
      </c>
      <c r="B31" s="300" t="s">
        <v>1352</v>
      </c>
      <c r="C31" s="300" t="s">
        <v>1262</v>
      </c>
      <c r="D31" s="452" t="s">
        <v>1508</v>
      </c>
      <c r="E31" s="701">
        <f t="shared" si="7"/>
        <v>10800</v>
      </c>
      <c r="F31" s="702">
        <v>900</v>
      </c>
      <c r="G31" s="702">
        <v>900</v>
      </c>
      <c r="H31" s="702">
        <v>900</v>
      </c>
      <c r="I31" s="702">
        <v>900</v>
      </c>
      <c r="J31" s="702">
        <v>900</v>
      </c>
      <c r="K31" s="702">
        <v>900</v>
      </c>
      <c r="L31" s="702">
        <v>900</v>
      </c>
      <c r="M31" s="702">
        <v>900</v>
      </c>
      <c r="N31" s="702">
        <v>900</v>
      </c>
      <c r="O31" s="702">
        <v>900</v>
      </c>
      <c r="P31" s="702">
        <v>900</v>
      </c>
      <c r="Q31" s="702">
        <v>900</v>
      </c>
      <c r="R31" s="703"/>
    </row>
    <row r="32" spans="1:18" ht="13.5">
      <c r="A32" s="300" t="s">
        <v>1483</v>
      </c>
      <c r="B32" s="300" t="s">
        <v>1352</v>
      </c>
      <c r="C32" s="300" t="s">
        <v>1262</v>
      </c>
      <c r="D32" s="452" t="s">
        <v>1509</v>
      </c>
      <c r="E32" s="701">
        <f t="shared" si="7"/>
        <v>4500</v>
      </c>
      <c r="F32" s="702">
        <v>375</v>
      </c>
      <c r="G32" s="702">
        <v>375</v>
      </c>
      <c r="H32" s="702">
        <v>375</v>
      </c>
      <c r="I32" s="702">
        <v>375</v>
      </c>
      <c r="J32" s="702">
        <v>375</v>
      </c>
      <c r="K32" s="702">
        <v>375</v>
      </c>
      <c r="L32" s="702">
        <v>375</v>
      </c>
      <c r="M32" s="702">
        <v>375</v>
      </c>
      <c r="N32" s="702">
        <v>375</v>
      </c>
      <c r="O32" s="702">
        <v>375</v>
      </c>
      <c r="P32" s="702">
        <v>375</v>
      </c>
      <c r="Q32" s="702">
        <v>375</v>
      </c>
      <c r="R32" s="703"/>
    </row>
    <row r="33" spans="1:18" ht="13.5">
      <c r="A33" s="300" t="s">
        <v>1483</v>
      </c>
      <c r="B33" s="300" t="s">
        <v>1352</v>
      </c>
      <c r="C33" s="300" t="s">
        <v>1262</v>
      </c>
      <c r="D33" s="452" t="s">
        <v>1510</v>
      </c>
      <c r="E33" s="701">
        <f>SUM(F33:Q33)</f>
        <v>12600</v>
      </c>
      <c r="F33" s="702">
        <f>350*3</f>
        <v>1050</v>
      </c>
      <c r="G33" s="702">
        <f aca="true" t="shared" si="9" ref="G33:Q33">350*3</f>
        <v>1050</v>
      </c>
      <c r="H33" s="702">
        <f t="shared" si="9"/>
        <v>1050</v>
      </c>
      <c r="I33" s="702">
        <f t="shared" si="9"/>
        <v>1050</v>
      </c>
      <c r="J33" s="702">
        <f t="shared" si="9"/>
        <v>1050</v>
      </c>
      <c r="K33" s="702">
        <f t="shared" si="9"/>
        <v>1050</v>
      </c>
      <c r="L33" s="702">
        <f t="shared" si="9"/>
        <v>1050</v>
      </c>
      <c r="M33" s="702">
        <f t="shared" si="9"/>
        <v>1050</v>
      </c>
      <c r="N33" s="702">
        <f t="shared" si="9"/>
        <v>1050</v>
      </c>
      <c r="O33" s="702">
        <f t="shared" si="9"/>
        <v>1050</v>
      </c>
      <c r="P33" s="702">
        <f t="shared" si="9"/>
        <v>1050</v>
      </c>
      <c r="Q33" s="702">
        <f t="shared" si="9"/>
        <v>1050</v>
      </c>
      <c r="R33" s="703"/>
    </row>
    <row r="34" spans="1:18" ht="13.5">
      <c r="A34" s="300" t="s">
        <v>1483</v>
      </c>
      <c r="B34" s="300" t="s">
        <v>1352</v>
      </c>
      <c r="C34" s="300" t="s">
        <v>1262</v>
      </c>
      <c r="D34" s="452" t="s">
        <v>1511</v>
      </c>
      <c r="E34" s="701">
        <f t="shared" si="7"/>
        <v>3924</v>
      </c>
      <c r="F34" s="702">
        <f aca="true" t="shared" si="10" ref="F34:Q34">SUM(F30:F33)*0.08</f>
        <v>327</v>
      </c>
      <c r="G34" s="702">
        <f t="shared" si="10"/>
        <v>327</v>
      </c>
      <c r="H34" s="702">
        <f t="shared" si="10"/>
        <v>327</v>
      </c>
      <c r="I34" s="702">
        <f t="shared" si="10"/>
        <v>327</v>
      </c>
      <c r="J34" s="702">
        <f t="shared" si="10"/>
        <v>327</v>
      </c>
      <c r="K34" s="702">
        <f t="shared" si="10"/>
        <v>327</v>
      </c>
      <c r="L34" s="702">
        <f t="shared" si="10"/>
        <v>327</v>
      </c>
      <c r="M34" s="702">
        <f t="shared" si="10"/>
        <v>327</v>
      </c>
      <c r="N34" s="702">
        <f t="shared" si="10"/>
        <v>327</v>
      </c>
      <c r="O34" s="702">
        <f t="shared" si="10"/>
        <v>327</v>
      </c>
      <c r="P34" s="702">
        <f t="shared" si="10"/>
        <v>327</v>
      </c>
      <c r="Q34" s="702">
        <f t="shared" si="10"/>
        <v>327</v>
      </c>
      <c r="R34" s="703"/>
    </row>
    <row r="35" spans="1:18" ht="13.5">
      <c r="A35" s="300" t="s">
        <v>1483</v>
      </c>
      <c r="B35" s="300" t="s">
        <v>1352</v>
      </c>
      <c r="C35" s="300" t="s">
        <v>1262</v>
      </c>
      <c r="D35" s="452" t="s">
        <v>448</v>
      </c>
      <c r="E35" s="701">
        <f t="shared" si="7"/>
        <v>981</v>
      </c>
      <c r="F35" s="702">
        <f aca="true" t="shared" si="11" ref="F35:Q35">SUM(F30:F33)*0.02</f>
        <v>81.75</v>
      </c>
      <c r="G35" s="702">
        <f t="shared" si="11"/>
        <v>81.75</v>
      </c>
      <c r="H35" s="702">
        <f t="shared" si="11"/>
        <v>81.75</v>
      </c>
      <c r="I35" s="702">
        <f t="shared" si="11"/>
        <v>81.75</v>
      </c>
      <c r="J35" s="702">
        <f t="shared" si="11"/>
        <v>81.75</v>
      </c>
      <c r="K35" s="702">
        <f t="shared" si="11"/>
        <v>81.75</v>
      </c>
      <c r="L35" s="702">
        <f t="shared" si="11"/>
        <v>81.75</v>
      </c>
      <c r="M35" s="702">
        <f t="shared" si="11"/>
        <v>81.75</v>
      </c>
      <c r="N35" s="702">
        <f t="shared" si="11"/>
        <v>81.75</v>
      </c>
      <c r="O35" s="702">
        <f t="shared" si="11"/>
        <v>81.75</v>
      </c>
      <c r="P35" s="702">
        <f t="shared" si="11"/>
        <v>81.75</v>
      </c>
      <c r="Q35" s="702">
        <f t="shared" si="11"/>
        <v>81.75</v>
      </c>
      <c r="R35" s="703"/>
    </row>
    <row r="36" spans="1:18" ht="13.5">
      <c r="A36" s="300" t="s">
        <v>1483</v>
      </c>
      <c r="B36" s="300" t="s">
        <v>1352</v>
      </c>
      <c r="C36" s="300" t="s">
        <v>1262</v>
      </c>
      <c r="D36" s="452" t="s">
        <v>1512</v>
      </c>
      <c r="E36" s="701">
        <f t="shared" si="7"/>
        <v>4087.5</v>
      </c>
      <c r="F36" s="702">
        <v>0</v>
      </c>
      <c r="G36" s="702">
        <v>0</v>
      </c>
      <c r="H36" s="702">
        <f>SUM(H30:H33)/2</f>
        <v>2043.75</v>
      </c>
      <c r="I36" s="702">
        <v>0</v>
      </c>
      <c r="J36" s="702"/>
      <c r="K36" s="702"/>
      <c r="L36" s="702"/>
      <c r="M36" s="702"/>
      <c r="N36" s="702">
        <f>SUM(N30:N33)/2</f>
        <v>2043.75</v>
      </c>
      <c r="O36" s="702">
        <v>0</v>
      </c>
      <c r="P36" s="702">
        <v>0</v>
      </c>
      <c r="Q36" s="702">
        <v>0</v>
      </c>
      <c r="R36" s="703"/>
    </row>
    <row r="37" spans="1:18" ht="13.5">
      <c r="A37" s="300" t="s">
        <v>1483</v>
      </c>
      <c r="B37" s="300" t="s">
        <v>1352</v>
      </c>
      <c r="C37" s="300" t="s">
        <v>1262</v>
      </c>
      <c r="D37" s="452" t="s">
        <v>1513</v>
      </c>
      <c r="E37" s="701">
        <f t="shared" si="7"/>
        <v>4087.5</v>
      </c>
      <c r="F37" s="702"/>
      <c r="G37" s="702"/>
      <c r="H37" s="702"/>
      <c r="I37" s="702"/>
      <c r="J37" s="702"/>
      <c r="K37" s="702"/>
      <c r="L37" s="702"/>
      <c r="M37" s="702"/>
      <c r="N37" s="702"/>
      <c r="O37" s="702"/>
      <c r="P37" s="702"/>
      <c r="Q37" s="702">
        <f>SUM(Q30:Q33)</f>
        <v>4087.5</v>
      </c>
      <c r="R37" s="703"/>
    </row>
    <row r="38" spans="1:18" ht="13.5">
      <c r="A38" s="300" t="s">
        <v>1483</v>
      </c>
      <c r="B38" s="300" t="s">
        <v>1352</v>
      </c>
      <c r="C38" s="300" t="s">
        <v>1262</v>
      </c>
      <c r="D38" s="462" t="s">
        <v>1514</v>
      </c>
      <c r="E38" s="741">
        <f t="shared" si="7"/>
        <v>900</v>
      </c>
      <c r="F38" s="717">
        <v>300</v>
      </c>
      <c r="G38" s="717">
        <v>300</v>
      </c>
      <c r="H38" s="717">
        <v>300</v>
      </c>
      <c r="I38" s="717">
        <v>0</v>
      </c>
      <c r="J38" s="717">
        <v>0</v>
      </c>
      <c r="K38" s="717">
        <v>0</v>
      </c>
      <c r="L38" s="717">
        <v>0</v>
      </c>
      <c r="M38" s="717">
        <v>0</v>
      </c>
      <c r="N38" s="717">
        <v>0</v>
      </c>
      <c r="O38" s="717">
        <v>0</v>
      </c>
      <c r="P38" s="717">
        <v>0</v>
      </c>
      <c r="Q38" s="717">
        <v>0</v>
      </c>
      <c r="R38" s="703"/>
    </row>
    <row r="39" spans="1:18" ht="13.5">
      <c r="A39" s="300" t="s">
        <v>1483</v>
      </c>
      <c r="B39" s="300" t="s">
        <v>1352</v>
      </c>
      <c r="C39" s="300" t="s">
        <v>1262</v>
      </c>
      <c r="D39" s="462" t="s">
        <v>1515</v>
      </c>
      <c r="E39" s="741">
        <f t="shared" si="7"/>
        <v>6000</v>
      </c>
      <c r="F39" s="717">
        <v>500</v>
      </c>
      <c r="G39" s="717">
        <v>500</v>
      </c>
      <c r="H39" s="717">
        <v>500</v>
      </c>
      <c r="I39" s="717">
        <v>500</v>
      </c>
      <c r="J39" s="717">
        <v>500</v>
      </c>
      <c r="K39" s="717">
        <v>500</v>
      </c>
      <c r="L39" s="717">
        <v>500</v>
      </c>
      <c r="M39" s="717">
        <v>500</v>
      </c>
      <c r="N39" s="717">
        <v>500</v>
      </c>
      <c r="O39" s="717">
        <v>500</v>
      </c>
      <c r="P39" s="717">
        <v>500</v>
      </c>
      <c r="Q39" s="717">
        <v>500</v>
      </c>
      <c r="R39" s="703"/>
    </row>
    <row r="40" spans="1:18" ht="13.5">
      <c r="A40" s="536" t="s">
        <v>1483</v>
      </c>
      <c r="B40" s="476" t="s">
        <v>1352</v>
      </c>
      <c r="C40" s="686" t="s">
        <v>1502</v>
      </c>
      <c r="D40" s="735" t="s">
        <v>1516</v>
      </c>
      <c r="E40" s="736">
        <f aca="true" t="shared" si="12" ref="E40:Q40">SUM(E30:E39)</f>
        <v>69030</v>
      </c>
      <c r="F40" s="751">
        <f t="shared" si="12"/>
        <v>5296.25</v>
      </c>
      <c r="G40" s="751">
        <f t="shared" si="12"/>
        <v>5296.25</v>
      </c>
      <c r="H40" s="751">
        <f t="shared" si="12"/>
        <v>7340</v>
      </c>
      <c r="I40" s="751">
        <f t="shared" si="12"/>
        <v>4996.25</v>
      </c>
      <c r="J40" s="751">
        <f t="shared" si="12"/>
        <v>4996.25</v>
      </c>
      <c r="K40" s="751">
        <f t="shared" si="12"/>
        <v>4996.25</v>
      </c>
      <c r="L40" s="751">
        <f t="shared" si="12"/>
        <v>4996.25</v>
      </c>
      <c r="M40" s="751">
        <f t="shared" si="12"/>
        <v>4996.25</v>
      </c>
      <c r="N40" s="751">
        <f t="shared" si="12"/>
        <v>7040</v>
      </c>
      <c r="O40" s="751">
        <f t="shared" si="12"/>
        <v>4996.25</v>
      </c>
      <c r="P40" s="751">
        <f t="shared" si="12"/>
        <v>4996.25</v>
      </c>
      <c r="Q40" s="751">
        <f t="shared" si="12"/>
        <v>9083.75</v>
      </c>
      <c r="R40" s="738"/>
    </row>
    <row r="41" spans="1:18" ht="13.5">
      <c r="A41" s="506"/>
      <c r="B41" s="506"/>
      <c r="C41" s="506"/>
      <c r="D41" s="739"/>
      <c r="E41" s="752"/>
      <c r="F41" s="752"/>
      <c r="G41" s="752"/>
      <c r="H41" s="752"/>
      <c r="I41" s="752"/>
      <c r="J41" s="752"/>
      <c r="K41" s="752"/>
      <c r="L41" s="752"/>
      <c r="M41" s="752"/>
      <c r="N41" s="752"/>
      <c r="O41" s="752"/>
      <c r="P41" s="752"/>
      <c r="Q41" s="752"/>
      <c r="R41" s="739"/>
    </row>
    <row r="42" spans="1:18" ht="13.5">
      <c r="A42" s="300"/>
      <c r="B42" s="300"/>
      <c r="C42" s="300"/>
      <c r="D42" s="481"/>
      <c r="E42" s="753"/>
      <c r="F42" s="695"/>
      <c r="G42" s="695"/>
      <c r="H42" s="695"/>
      <c r="I42" s="695"/>
      <c r="J42" s="695"/>
      <c r="K42" s="695"/>
      <c r="L42" s="695"/>
      <c r="M42" s="695"/>
      <c r="N42" s="695"/>
      <c r="O42" s="695"/>
      <c r="P42" s="695"/>
      <c r="Q42" s="695"/>
      <c r="R42" s="484"/>
    </row>
    <row r="43" spans="1:18" ht="13.5">
      <c r="A43" s="831" t="s">
        <v>1517</v>
      </c>
      <c r="B43" s="832"/>
      <c r="C43" s="832"/>
      <c r="D43" s="833"/>
      <c r="E43" s="685" t="s">
        <v>799</v>
      </c>
      <c r="F43" s="685" t="s">
        <v>1250</v>
      </c>
      <c r="G43" s="685" t="s">
        <v>1251</v>
      </c>
      <c r="H43" s="685" t="s">
        <v>1252</v>
      </c>
      <c r="I43" s="685" t="s">
        <v>1253</v>
      </c>
      <c r="J43" s="685" t="s">
        <v>1254</v>
      </c>
      <c r="K43" s="685" t="s">
        <v>1255</v>
      </c>
      <c r="L43" s="685" t="s">
        <v>1256</v>
      </c>
      <c r="M43" s="685" t="s">
        <v>1257</v>
      </c>
      <c r="N43" s="685" t="s">
        <v>1258</v>
      </c>
      <c r="O43" s="685" t="s">
        <v>1259</v>
      </c>
      <c r="P43" s="685" t="s">
        <v>1260</v>
      </c>
      <c r="Q43" s="685" t="s">
        <v>1261</v>
      </c>
      <c r="R43" s="549"/>
    </row>
    <row r="44" spans="1:18" ht="13.5">
      <c r="A44" s="300" t="s">
        <v>1483</v>
      </c>
      <c r="B44" s="754" t="s">
        <v>536</v>
      </c>
      <c r="C44" s="300" t="s">
        <v>1262</v>
      </c>
      <c r="D44" s="462" t="s">
        <v>1518</v>
      </c>
      <c r="E44" s="741">
        <f>SUM(F44:Q44)</f>
        <v>18000</v>
      </c>
      <c r="F44" s="717">
        <v>1500</v>
      </c>
      <c r="G44" s="717">
        <v>1500</v>
      </c>
      <c r="H44" s="717">
        <v>1500</v>
      </c>
      <c r="I44" s="717">
        <v>1500</v>
      </c>
      <c r="J44" s="717">
        <v>1500</v>
      </c>
      <c r="K44" s="717">
        <v>1500</v>
      </c>
      <c r="L44" s="717">
        <v>1500</v>
      </c>
      <c r="M44" s="717">
        <v>1500</v>
      </c>
      <c r="N44" s="717">
        <v>1500</v>
      </c>
      <c r="O44" s="717">
        <v>1500</v>
      </c>
      <c r="P44" s="717">
        <v>1500</v>
      </c>
      <c r="Q44" s="717">
        <v>1500</v>
      </c>
      <c r="R44" s="703"/>
    </row>
    <row r="45" spans="1:18" ht="13.5">
      <c r="A45" s="300" t="s">
        <v>1483</v>
      </c>
      <c r="B45" s="754" t="s">
        <v>536</v>
      </c>
      <c r="C45" s="300" t="s">
        <v>1262</v>
      </c>
      <c r="D45" s="462" t="s">
        <v>1511</v>
      </c>
      <c r="E45" s="741">
        <f>SUM(F45:Q45)</f>
        <v>1440</v>
      </c>
      <c r="F45" s="717">
        <f>SUM(F44)*0.08</f>
        <v>120</v>
      </c>
      <c r="G45" s="717">
        <f aca="true" t="shared" si="13" ref="G45:Q45">SUM(G44)*0.08</f>
        <v>120</v>
      </c>
      <c r="H45" s="717">
        <f t="shared" si="13"/>
        <v>120</v>
      </c>
      <c r="I45" s="717">
        <f t="shared" si="13"/>
        <v>120</v>
      </c>
      <c r="J45" s="717">
        <f t="shared" si="13"/>
        <v>120</v>
      </c>
      <c r="K45" s="717">
        <f t="shared" si="13"/>
        <v>120</v>
      </c>
      <c r="L45" s="717">
        <f t="shared" si="13"/>
        <v>120</v>
      </c>
      <c r="M45" s="717">
        <f t="shared" si="13"/>
        <v>120</v>
      </c>
      <c r="N45" s="717">
        <f t="shared" si="13"/>
        <v>120</v>
      </c>
      <c r="O45" s="717">
        <f t="shared" si="13"/>
        <v>120</v>
      </c>
      <c r="P45" s="717">
        <f t="shared" si="13"/>
        <v>120</v>
      </c>
      <c r="Q45" s="717">
        <f t="shared" si="13"/>
        <v>120</v>
      </c>
      <c r="R45" s="703"/>
    </row>
    <row r="46" spans="1:18" ht="13.5">
      <c r="A46" s="300" t="s">
        <v>1483</v>
      </c>
      <c r="B46" s="754" t="s">
        <v>536</v>
      </c>
      <c r="C46" s="300" t="s">
        <v>1262</v>
      </c>
      <c r="D46" s="462" t="s">
        <v>448</v>
      </c>
      <c r="E46" s="741">
        <f>SUM(F46:Q46)</f>
        <v>360</v>
      </c>
      <c r="F46" s="717">
        <f>F44*0.02</f>
        <v>30</v>
      </c>
      <c r="G46" s="717">
        <f aca="true" t="shared" si="14" ref="G46:Q46">G44*0.02</f>
        <v>30</v>
      </c>
      <c r="H46" s="717">
        <f t="shared" si="14"/>
        <v>30</v>
      </c>
      <c r="I46" s="717">
        <f t="shared" si="14"/>
        <v>30</v>
      </c>
      <c r="J46" s="717">
        <f t="shared" si="14"/>
        <v>30</v>
      </c>
      <c r="K46" s="717">
        <f t="shared" si="14"/>
        <v>30</v>
      </c>
      <c r="L46" s="717">
        <f t="shared" si="14"/>
        <v>30</v>
      </c>
      <c r="M46" s="717">
        <f t="shared" si="14"/>
        <v>30</v>
      </c>
      <c r="N46" s="717">
        <f t="shared" si="14"/>
        <v>30</v>
      </c>
      <c r="O46" s="717">
        <f t="shared" si="14"/>
        <v>30</v>
      </c>
      <c r="P46" s="717">
        <f t="shared" si="14"/>
        <v>30</v>
      </c>
      <c r="Q46" s="717">
        <f t="shared" si="14"/>
        <v>30</v>
      </c>
      <c r="R46" s="703"/>
    </row>
    <row r="47" spans="1:18" ht="13.5">
      <c r="A47" s="300" t="s">
        <v>1483</v>
      </c>
      <c r="B47" s="754" t="s">
        <v>536</v>
      </c>
      <c r="C47" s="300" t="s">
        <v>1262</v>
      </c>
      <c r="D47" s="462" t="s">
        <v>1512</v>
      </c>
      <c r="E47" s="741">
        <f>SUM(F47:Q47)</f>
        <v>1500</v>
      </c>
      <c r="F47" s="717">
        <v>0</v>
      </c>
      <c r="G47" s="717">
        <v>0</v>
      </c>
      <c r="H47" s="717">
        <f>H44/2</f>
        <v>750</v>
      </c>
      <c r="I47" s="717">
        <v>0</v>
      </c>
      <c r="J47" s="717">
        <v>0</v>
      </c>
      <c r="K47" s="717">
        <v>0</v>
      </c>
      <c r="L47" s="717">
        <v>0</v>
      </c>
      <c r="M47" s="717">
        <v>0</v>
      </c>
      <c r="N47" s="717">
        <f>N44/2</f>
        <v>750</v>
      </c>
      <c r="O47" s="717">
        <v>0</v>
      </c>
      <c r="P47" s="717">
        <v>0</v>
      </c>
      <c r="Q47" s="717">
        <v>0</v>
      </c>
      <c r="R47" s="703"/>
    </row>
    <row r="48" spans="1:18" ht="13.5">
      <c r="A48" s="300" t="s">
        <v>1483</v>
      </c>
      <c r="B48" s="754" t="s">
        <v>536</v>
      </c>
      <c r="C48" s="300" t="s">
        <v>1262</v>
      </c>
      <c r="D48" s="462" t="s">
        <v>1513</v>
      </c>
      <c r="E48" s="741">
        <f>SUM(F48:Q48)</f>
        <v>1500</v>
      </c>
      <c r="F48" s="717">
        <v>0</v>
      </c>
      <c r="G48" s="717">
        <v>0</v>
      </c>
      <c r="H48" s="717">
        <v>0</v>
      </c>
      <c r="I48" s="717">
        <v>0</v>
      </c>
      <c r="J48" s="717">
        <v>0</v>
      </c>
      <c r="K48" s="717">
        <v>0</v>
      </c>
      <c r="L48" s="717">
        <v>0</v>
      </c>
      <c r="M48" s="717">
        <v>0</v>
      </c>
      <c r="N48" s="717">
        <v>0</v>
      </c>
      <c r="O48" s="717">
        <v>0</v>
      </c>
      <c r="P48" s="717">
        <v>0</v>
      </c>
      <c r="Q48" s="717">
        <f>Q44</f>
        <v>1500</v>
      </c>
      <c r="R48" s="703"/>
    </row>
    <row r="49" spans="1:18" ht="13.5">
      <c r="A49" s="536" t="s">
        <v>1483</v>
      </c>
      <c r="B49" s="476" t="s">
        <v>536</v>
      </c>
      <c r="C49" s="686" t="s">
        <v>1502</v>
      </c>
      <c r="D49" s="735" t="s">
        <v>1516</v>
      </c>
      <c r="E49" s="736">
        <f>SUM(E44:E48)</f>
        <v>22800</v>
      </c>
      <c r="F49" s="751">
        <f aca="true" t="shared" si="15" ref="F49:Q49">SUM(F44:F48)</f>
        <v>1650</v>
      </c>
      <c r="G49" s="751">
        <f t="shared" si="15"/>
        <v>1650</v>
      </c>
      <c r="H49" s="751">
        <f t="shared" si="15"/>
        <v>2400</v>
      </c>
      <c r="I49" s="751">
        <f t="shared" si="15"/>
        <v>1650</v>
      </c>
      <c r="J49" s="751">
        <f t="shared" si="15"/>
        <v>1650</v>
      </c>
      <c r="K49" s="751">
        <f t="shared" si="15"/>
        <v>1650</v>
      </c>
      <c r="L49" s="751">
        <f t="shared" si="15"/>
        <v>1650</v>
      </c>
      <c r="M49" s="751">
        <f t="shared" si="15"/>
        <v>1650</v>
      </c>
      <c r="N49" s="751">
        <f t="shared" si="15"/>
        <v>2400</v>
      </c>
      <c r="O49" s="751">
        <f t="shared" si="15"/>
        <v>1650</v>
      </c>
      <c r="P49" s="751">
        <f t="shared" si="15"/>
        <v>1650</v>
      </c>
      <c r="Q49" s="751">
        <f t="shared" si="15"/>
        <v>3150</v>
      </c>
      <c r="R49" s="738"/>
    </row>
    <row r="50" spans="1:18" ht="13.5">
      <c r="A50" s="506"/>
      <c r="B50" s="506"/>
      <c r="C50" s="506"/>
      <c r="D50" s="739"/>
      <c r="E50" s="752"/>
      <c r="F50" s="752"/>
      <c r="G50" s="752"/>
      <c r="H50" s="752"/>
      <c r="I50" s="752"/>
      <c r="J50" s="752"/>
      <c r="K50" s="752"/>
      <c r="L50" s="752"/>
      <c r="M50" s="752"/>
      <c r="N50" s="752"/>
      <c r="O50" s="752"/>
      <c r="P50" s="752"/>
      <c r="Q50" s="752"/>
      <c r="R50" s="739"/>
    </row>
    <row r="51" spans="1:18" ht="13.5">
      <c r="A51" s="300"/>
      <c r="B51" s="300"/>
      <c r="C51" s="300"/>
      <c r="D51" s="481"/>
      <c r="E51" s="695"/>
      <c r="F51" s="695"/>
      <c r="G51" s="695"/>
      <c r="H51" s="695"/>
      <c r="I51" s="695"/>
      <c r="J51" s="695"/>
      <c r="K51" s="695"/>
      <c r="L51" s="695"/>
      <c r="M51" s="695"/>
      <c r="N51" s="695"/>
      <c r="O51" s="695"/>
      <c r="P51" s="695"/>
      <c r="Q51" s="695"/>
      <c r="R51" s="484"/>
    </row>
    <row r="52" spans="1:18" ht="13.5">
      <c r="A52" s="831" t="s">
        <v>1519</v>
      </c>
      <c r="B52" s="832"/>
      <c r="C52" s="832"/>
      <c r="D52" s="833"/>
      <c r="E52" s="685" t="s">
        <v>799</v>
      </c>
      <c r="F52" s="685" t="s">
        <v>1250</v>
      </c>
      <c r="G52" s="685" t="s">
        <v>1251</v>
      </c>
      <c r="H52" s="685" t="s">
        <v>1252</v>
      </c>
      <c r="I52" s="685" t="s">
        <v>1253</v>
      </c>
      <c r="J52" s="685" t="s">
        <v>1254</v>
      </c>
      <c r="K52" s="685" t="s">
        <v>1255</v>
      </c>
      <c r="L52" s="685" t="s">
        <v>1256</v>
      </c>
      <c r="M52" s="685" t="s">
        <v>1257</v>
      </c>
      <c r="N52" s="685" t="s">
        <v>1258</v>
      </c>
      <c r="O52" s="685" t="s">
        <v>1259</v>
      </c>
      <c r="P52" s="685" t="s">
        <v>1260</v>
      </c>
      <c r="Q52" s="685" t="s">
        <v>1261</v>
      </c>
      <c r="R52" s="549"/>
    </row>
    <row r="53" spans="1:18" ht="13.5">
      <c r="A53" s="300" t="s">
        <v>1483</v>
      </c>
      <c r="B53" s="300" t="s">
        <v>1352</v>
      </c>
      <c r="C53" s="300" t="s">
        <v>1289</v>
      </c>
      <c r="D53" s="462" t="s">
        <v>1520</v>
      </c>
      <c r="E53" s="741">
        <f aca="true" t="shared" si="16" ref="E53:E58">SUM(F53:Q53)</f>
        <v>10200</v>
      </c>
      <c r="F53" s="717">
        <v>850</v>
      </c>
      <c r="G53" s="717">
        <v>850</v>
      </c>
      <c r="H53" s="717">
        <v>850</v>
      </c>
      <c r="I53" s="717">
        <v>850</v>
      </c>
      <c r="J53" s="717">
        <v>850</v>
      </c>
      <c r="K53" s="717">
        <v>850</v>
      </c>
      <c r="L53" s="717">
        <v>850</v>
      </c>
      <c r="M53" s="717">
        <v>850</v>
      </c>
      <c r="N53" s="717">
        <v>850</v>
      </c>
      <c r="O53" s="717">
        <v>850</v>
      </c>
      <c r="P53" s="717">
        <v>850</v>
      </c>
      <c r="Q53" s="717">
        <v>850</v>
      </c>
      <c r="R53" s="703"/>
    </row>
    <row r="54" spans="1:18" ht="13.5">
      <c r="A54" s="300" t="s">
        <v>1483</v>
      </c>
      <c r="B54" s="300" t="s">
        <v>1352</v>
      </c>
      <c r="C54" s="300" t="s">
        <v>1289</v>
      </c>
      <c r="D54" s="462" t="s">
        <v>1521</v>
      </c>
      <c r="E54" s="741">
        <f t="shared" si="16"/>
        <v>4200</v>
      </c>
      <c r="F54" s="717">
        <v>350</v>
      </c>
      <c r="G54" s="717">
        <v>350</v>
      </c>
      <c r="H54" s="717">
        <v>350</v>
      </c>
      <c r="I54" s="717">
        <v>350</v>
      </c>
      <c r="J54" s="717">
        <v>350</v>
      </c>
      <c r="K54" s="717">
        <v>350</v>
      </c>
      <c r="L54" s="717">
        <v>350</v>
      </c>
      <c r="M54" s="717">
        <v>350</v>
      </c>
      <c r="N54" s="717">
        <v>350</v>
      </c>
      <c r="O54" s="717">
        <v>350</v>
      </c>
      <c r="P54" s="717">
        <v>350</v>
      </c>
      <c r="Q54" s="717">
        <v>350</v>
      </c>
      <c r="R54" s="703"/>
    </row>
    <row r="55" spans="1:18" ht="13.5">
      <c r="A55" s="300" t="s">
        <v>1483</v>
      </c>
      <c r="B55" s="300" t="s">
        <v>1352</v>
      </c>
      <c r="C55" s="300" t="s">
        <v>1289</v>
      </c>
      <c r="D55" s="462" t="s">
        <v>1511</v>
      </c>
      <c r="E55" s="741">
        <f t="shared" si="16"/>
        <v>1152</v>
      </c>
      <c r="F55" s="717">
        <f aca="true" t="shared" si="17" ref="F55:Q55">SUM(F53:F54)*0.08</f>
        <v>96</v>
      </c>
      <c r="G55" s="717">
        <f t="shared" si="17"/>
        <v>96</v>
      </c>
      <c r="H55" s="717">
        <f t="shared" si="17"/>
        <v>96</v>
      </c>
      <c r="I55" s="717">
        <f t="shared" si="17"/>
        <v>96</v>
      </c>
      <c r="J55" s="717">
        <f t="shared" si="17"/>
        <v>96</v>
      </c>
      <c r="K55" s="717">
        <f t="shared" si="17"/>
        <v>96</v>
      </c>
      <c r="L55" s="717">
        <f t="shared" si="17"/>
        <v>96</v>
      </c>
      <c r="M55" s="717">
        <f t="shared" si="17"/>
        <v>96</v>
      </c>
      <c r="N55" s="717">
        <f t="shared" si="17"/>
        <v>96</v>
      </c>
      <c r="O55" s="717">
        <f t="shared" si="17"/>
        <v>96</v>
      </c>
      <c r="P55" s="717">
        <f t="shared" si="17"/>
        <v>96</v>
      </c>
      <c r="Q55" s="717">
        <f t="shared" si="17"/>
        <v>96</v>
      </c>
      <c r="R55" s="703"/>
    </row>
    <row r="56" spans="1:18" ht="13.5">
      <c r="A56" s="300" t="s">
        <v>1483</v>
      </c>
      <c r="B56" s="300" t="s">
        <v>1352</v>
      </c>
      <c r="C56" s="300" t="s">
        <v>1289</v>
      </c>
      <c r="D56" s="462" t="s">
        <v>448</v>
      </c>
      <c r="E56" s="741">
        <f t="shared" si="16"/>
        <v>107.04</v>
      </c>
      <c r="F56" s="717">
        <f aca="true" t="shared" si="18" ref="F56:Q56">SUM(F54:F55)*0.02</f>
        <v>8.92</v>
      </c>
      <c r="G56" s="717">
        <f t="shared" si="18"/>
        <v>8.92</v>
      </c>
      <c r="H56" s="717">
        <f t="shared" si="18"/>
        <v>8.92</v>
      </c>
      <c r="I56" s="717">
        <f t="shared" si="18"/>
        <v>8.92</v>
      </c>
      <c r="J56" s="717">
        <f t="shared" si="18"/>
        <v>8.92</v>
      </c>
      <c r="K56" s="717">
        <f t="shared" si="18"/>
        <v>8.92</v>
      </c>
      <c r="L56" s="717">
        <f t="shared" si="18"/>
        <v>8.92</v>
      </c>
      <c r="M56" s="717">
        <f t="shared" si="18"/>
        <v>8.92</v>
      </c>
      <c r="N56" s="717">
        <f t="shared" si="18"/>
        <v>8.92</v>
      </c>
      <c r="O56" s="717">
        <f t="shared" si="18"/>
        <v>8.92</v>
      </c>
      <c r="P56" s="717">
        <f t="shared" si="18"/>
        <v>8.92</v>
      </c>
      <c r="Q56" s="717">
        <f t="shared" si="18"/>
        <v>8.92</v>
      </c>
      <c r="R56" s="703"/>
    </row>
    <row r="57" spans="1:18" ht="13.5">
      <c r="A57" s="300" t="s">
        <v>1483</v>
      </c>
      <c r="B57" s="300" t="s">
        <v>1352</v>
      </c>
      <c r="C57" s="300" t="s">
        <v>1289</v>
      </c>
      <c r="D57" s="462" t="s">
        <v>1512</v>
      </c>
      <c r="E57" s="741">
        <f t="shared" si="16"/>
        <v>1200</v>
      </c>
      <c r="F57" s="717">
        <v>0</v>
      </c>
      <c r="G57" s="717">
        <v>0</v>
      </c>
      <c r="H57" s="717">
        <f>SUM(H53:H54)/2</f>
        <v>600</v>
      </c>
      <c r="I57" s="717">
        <v>0</v>
      </c>
      <c r="J57" s="717">
        <v>0</v>
      </c>
      <c r="K57" s="717">
        <v>0</v>
      </c>
      <c r="L57" s="717">
        <v>0</v>
      </c>
      <c r="M57" s="717">
        <v>0</v>
      </c>
      <c r="N57" s="717">
        <f>SUM(N53:N54)/2</f>
        <v>600</v>
      </c>
      <c r="O57" s="717">
        <v>0</v>
      </c>
      <c r="P57" s="717">
        <v>0</v>
      </c>
      <c r="Q57" s="717">
        <v>0</v>
      </c>
      <c r="R57" s="703"/>
    </row>
    <row r="58" spans="1:18" ht="13.5">
      <c r="A58" s="300" t="s">
        <v>1483</v>
      </c>
      <c r="B58" s="300" t="s">
        <v>1352</v>
      </c>
      <c r="C58" s="300" t="s">
        <v>1289</v>
      </c>
      <c r="D58" s="462" t="s">
        <v>1513</v>
      </c>
      <c r="E58" s="741">
        <f t="shared" si="16"/>
        <v>1200</v>
      </c>
      <c r="F58" s="717">
        <v>0</v>
      </c>
      <c r="G58" s="717">
        <v>0</v>
      </c>
      <c r="H58" s="717">
        <v>0</v>
      </c>
      <c r="I58" s="717">
        <v>0</v>
      </c>
      <c r="J58" s="717">
        <v>0</v>
      </c>
      <c r="K58" s="717">
        <v>0</v>
      </c>
      <c r="L58" s="717">
        <v>0</v>
      </c>
      <c r="M58" s="717">
        <v>0</v>
      </c>
      <c r="N58" s="717">
        <v>0</v>
      </c>
      <c r="O58" s="717">
        <v>0</v>
      </c>
      <c r="P58" s="717">
        <v>0</v>
      </c>
      <c r="Q58" s="717">
        <f>SUM(Q53:Q54)</f>
        <v>1200</v>
      </c>
      <c r="R58" s="703"/>
    </row>
    <row r="59" spans="1:18" ht="13.5">
      <c r="A59" s="536" t="s">
        <v>1483</v>
      </c>
      <c r="B59" s="476" t="s">
        <v>1352</v>
      </c>
      <c r="C59" s="686" t="s">
        <v>1289</v>
      </c>
      <c r="D59" s="735" t="s">
        <v>1519</v>
      </c>
      <c r="E59" s="736">
        <f>SUM(E53:E58)</f>
        <v>18059.04</v>
      </c>
      <c r="F59" s="751">
        <f aca="true" t="shared" si="19" ref="F59:Q59">SUM(F53:F58)</f>
        <v>1304.92</v>
      </c>
      <c r="G59" s="751">
        <f t="shared" si="19"/>
        <v>1304.92</v>
      </c>
      <c r="H59" s="751">
        <f t="shared" si="19"/>
        <v>1904.92</v>
      </c>
      <c r="I59" s="751">
        <f t="shared" si="19"/>
        <v>1304.92</v>
      </c>
      <c r="J59" s="751">
        <f t="shared" si="19"/>
        <v>1304.92</v>
      </c>
      <c r="K59" s="751">
        <f t="shared" si="19"/>
        <v>1304.92</v>
      </c>
      <c r="L59" s="751">
        <f t="shared" si="19"/>
        <v>1304.92</v>
      </c>
      <c r="M59" s="751">
        <f t="shared" si="19"/>
        <v>1304.92</v>
      </c>
      <c r="N59" s="751">
        <f t="shared" si="19"/>
        <v>1904.92</v>
      </c>
      <c r="O59" s="751">
        <f t="shared" si="19"/>
        <v>1304.92</v>
      </c>
      <c r="P59" s="751">
        <f t="shared" si="19"/>
        <v>1304.92</v>
      </c>
      <c r="Q59" s="751">
        <f t="shared" si="19"/>
        <v>2504.92</v>
      </c>
      <c r="R59" s="738"/>
    </row>
    <row r="60" spans="1:18" ht="13.5">
      <c r="A60" s="300"/>
      <c r="B60" s="300"/>
      <c r="C60" s="300"/>
      <c r="D60" s="481"/>
      <c r="E60" s="695"/>
      <c r="F60" s="695"/>
      <c r="G60" s="695"/>
      <c r="H60" s="695"/>
      <c r="I60" s="695"/>
      <c r="J60" s="695"/>
      <c r="K60" s="695"/>
      <c r="L60" s="695"/>
      <c r="M60" s="695"/>
      <c r="N60" s="695"/>
      <c r="O60" s="695"/>
      <c r="P60" s="695"/>
      <c r="Q60" s="695"/>
      <c r="R60" s="484"/>
    </row>
    <row r="61" spans="1:18" ht="13.5">
      <c r="A61" s="300"/>
      <c r="B61" s="300"/>
      <c r="C61" s="300"/>
      <c r="D61" s="481"/>
      <c r="E61" s="695"/>
      <c r="F61" s="695"/>
      <c r="G61" s="695"/>
      <c r="H61" s="695"/>
      <c r="I61" s="695"/>
      <c r="J61" s="695"/>
      <c r="K61" s="695"/>
      <c r="L61" s="695"/>
      <c r="M61" s="695"/>
      <c r="N61" s="695"/>
      <c r="O61" s="695"/>
      <c r="P61" s="695"/>
      <c r="Q61" s="695"/>
      <c r="R61" s="484"/>
    </row>
    <row r="62" spans="1:18" ht="13.5">
      <c r="A62" s="831" t="s">
        <v>1522</v>
      </c>
      <c r="B62" s="832"/>
      <c r="C62" s="832"/>
      <c r="D62" s="833"/>
      <c r="E62" s="685" t="s">
        <v>799</v>
      </c>
      <c r="F62" s="685" t="s">
        <v>1250</v>
      </c>
      <c r="G62" s="685" t="s">
        <v>1251</v>
      </c>
      <c r="H62" s="685" t="s">
        <v>1252</v>
      </c>
      <c r="I62" s="685" t="s">
        <v>1253</v>
      </c>
      <c r="J62" s="685" t="s">
        <v>1254</v>
      </c>
      <c r="K62" s="685" t="s">
        <v>1255</v>
      </c>
      <c r="L62" s="685" t="s">
        <v>1256</v>
      </c>
      <c r="M62" s="685" t="s">
        <v>1257</v>
      </c>
      <c r="N62" s="685" t="s">
        <v>1258</v>
      </c>
      <c r="O62" s="685" t="s">
        <v>1259</v>
      </c>
      <c r="P62" s="685" t="s">
        <v>1260</v>
      </c>
      <c r="Q62" s="685" t="s">
        <v>1261</v>
      </c>
      <c r="R62" s="549"/>
    </row>
    <row r="63" spans="1:18" ht="13.5">
      <c r="A63" s="300" t="s">
        <v>1483</v>
      </c>
      <c r="B63" s="300" t="s">
        <v>1467</v>
      </c>
      <c r="C63" s="300" t="s">
        <v>522</v>
      </c>
      <c r="D63" s="452" t="s">
        <v>1523</v>
      </c>
      <c r="E63" s="741">
        <f aca="true" t="shared" si="20" ref="E63:E69">SUM(F63:Q63)</f>
        <v>13800</v>
      </c>
      <c r="F63" s="717">
        <v>1150</v>
      </c>
      <c r="G63" s="717">
        <v>1150</v>
      </c>
      <c r="H63" s="717">
        <v>1150</v>
      </c>
      <c r="I63" s="717">
        <v>1150</v>
      </c>
      <c r="J63" s="717">
        <v>1150</v>
      </c>
      <c r="K63" s="717">
        <v>1150</v>
      </c>
      <c r="L63" s="717">
        <v>1150</v>
      </c>
      <c r="M63" s="717">
        <v>1150</v>
      </c>
      <c r="N63" s="717">
        <v>1150</v>
      </c>
      <c r="O63" s="717">
        <v>1150</v>
      </c>
      <c r="P63" s="717">
        <v>1150</v>
      </c>
      <c r="Q63" s="717">
        <v>1150</v>
      </c>
      <c r="R63" s="703"/>
    </row>
    <row r="64" spans="1:18" ht="13.5">
      <c r="A64" s="300" t="s">
        <v>1483</v>
      </c>
      <c r="B64" s="300" t="s">
        <v>1467</v>
      </c>
      <c r="C64" s="300" t="s">
        <v>522</v>
      </c>
      <c r="D64" s="462" t="s">
        <v>1524</v>
      </c>
      <c r="E64" s="741">
        <f t="shared" si="20"/>
        <v>10200</v>
      </c>
      <c r="F64" s="717">
        <v>850</v>
      </c>
      <c r="G64" s="717">
        <v>850</v>
      </c>
      <c r="H64" s="717">
        <v>850</v>
      </c>
      <c r="I64" s="717">
        <v>850</v>
      </c>
      <c r="J64" s="717">
        <v>850</v>
      </c>
      <c r="K64" s="717">
        <v>850</v>
      </c>
      <c r="L64" s="717">
        <v>850</v>
      </c>
      <c r="M64" s="717">
        <v>850</v>
      </c>
      <c r="N64" s="717">
        <v>850</v>
      </c>
      <c r="O64" s="717">
        <v>850</v>
      </c>
      <c r="P64" s="717">
        <v>850</v>
      </c>
      <c r="Q64" s="717">
        <v>850</v>
      </c>
      <c r="R64" s="703"/>
    </row>
    <row r="65" spans="1:18" ht="13.5">
      <c r="A65" s="300" t="s">
        <v>1483</v>
      </c>
      <c r="B65" s="300" t="s">
        <v>1467</v>
      </c>
      <c r="C65" s="300" t="s">
        <v>522</v>
      </c>
      <c r="D65" s="462" t="s">
        <v>1525</v>
      </c>
      <c r="E65" s="741">
        <f t="shared" si="20"/>
        <v>8400</v>
      </c>
      <c r="F65" s="717">
        <v>700</v>
      </c>
      <c r="G65" s="717">
        <v>700</v>
      </c>
      <c r="H65" s="717">
        <v>700</v>
      </c>
      <c r="I65" s="717">
        <v>700</v>
      </c>
      <c r="J65" s="717">
        <v>700</v>
      </c>
      <c r="K65" s="717">
        <v>700</v>
      </c>
      <c r="L65" s="717">
        <v>700</v>
      </c>
      <c r="M65" s="717">
        <v>700</v>
      </c>
      <c r="N65" s="717">
        <v>700</v>
      </c>
      <c r="O65" s="717">
        <v>700</v>
      </c>
      <c r="P65" s="717">
        <v>700</v>
      </c>
      <c r="Q65" s="717">
        <v>700</v>
      </c>
      <c r="R65" s="703"/>
    </row>
    <row r="66" spans="1:18" ht="13.5">
      <c r="A66" s="300" t="s">
        <v>1483</v>
      </c>
      <c r="B66" s="300" t="s">
        <v>1467</v>
      </c>
      <c r="C66" s="300" t="s">
        <v>522</v>
      </c>
      <c r="D66" s="462" t="s">
        <v>1511</v>
      </c>
      <c r="E66" s="741">
        <f t="shared" si="20"/>
        <v>2592</v>
      </c>
      <c r="F66" s="717">
        <f aca="true" t="shared" si="21" ref="F66:Q66">SUM(F63:F65)*0.08</f>
        <v>216</v>
      </c>
      <c r="G66" s="717">
        <f t="shared" si="21"/>
        <v>216</v>
      </c>
      <c r="H66" s="717">
        <f t="shared" si="21"/>
        <v>216</v>
      </c>
      <c r="I66" s="717">
        <f t="shared" si="21"/>
        <v>216</v>
      </c>
      <c r="J66" s="717">
        <f t="shared" si="21"/>
        <v>216</v>
      </c>
      <c r="K66" s="717">
        <f t="shared" si="21"/>
        <v>216</v>
      </c>
      <c r="L66" s="717">
        <f t="shared" si="21"/>
        <v>216</v>
      </c>
      <c r="M66" s="717">
        <f t="shared" si="21"/>
        <v>216</v>
      </c>
      <c r="N66" s="717">
        <f t="shared" si="21"/>
        <v>216</v>
      </c>
      <c r="O66" s="717">
        <f t="shared" si="21"/>
        <v>216</v>
      </c>
      <c r="P66" s="717">
        <f t="shared" si="21"/>
        <v>216</v>
      </c>
      <c r="Q66" s="717">
        <f t="shared" si="21"/>
        <v>216</v>
      </c>
      <c r="R66" s="703"/>
    </row>
    <row r="67" spans="1:18" ht="13.5">
      <c r="A67" s="300" t="s">
        <v>1483</v>
      </c>
      <c r="B67" s="300" t="s">
        <v>1467</v>
      </c>
      <c r="C67" s="300" t="s">
        <v>522</v>
      </c>
      <c r="D67" s="462" t="s">
        <v>448</v>
      </c>
      <c r="E67" s="741">
        <f t="shared" si="20"/>
        <v>648</v>
      </c>
      <c r="F67" s="717">
        <f aca="true" t="shared" si="22" ref="F67:Q67">SUM(F63:F65)*0.02</f>
        <v>54</v>
      </c>
      <c r="G67" s="717">
        <f t="shared" si="22"/>
        <v>54</v>
      </c>
      <c r="H67" s="717">
        <f t="shared" si="22"/>
        <v>54</v>
      </c>
      <c r="I67" s="717">
        <f t="shared" si="22"/>
        <v>54</v>
      </c>
      <c r="J67" s="717">
        <f t="shared" si="22"/>
        <v>54</v>
      </c>
      <c r="K67" s="717">
        <f t="shared" si="22"/>
        <v>54</v>
      </c>
      <c r="L67" s="717">
        <f t="shared" si="22"/>
        <v>54</v>
      </c>
      <c r="M67" s="717">
        <f t="shared" si="22"/>
        <v>54</v>
      </c>
      <c r="N67" s="717">
        <f t="shared" si="22"/>
        <v>54</v>
      </c>
      <c r="O67" s="717">
        <f t="shared" si="22"/>
        <v>54</v>
      </c>
      <c r="P67" s="717">
        <f t="shared" si="22"/>
        <v>54</v>
      </c>
      <c r="Q67" s="717">
        <f t="shared" si="22"/>
        <v>54</v>
      </c>
      <c r="R67" s="703"/>
    </row>
    <row r="68" spans="1:18" ht="13.5">
      <c r="A68" s="300" t="s">
        <v>1483</v>
      </c>
      <c r="B68" s="300" t="s">
        <v>1467</v>
      </c>
      <c r="C68" s="300" t="s">
        <v>522</v>
      </c>
      <c r="D68" s="462" t="s">
        <v>1512</v>
      </c>
      <c r="E68" s="741">
        <f t="shared" si="20"/>
        <v>2700</v>
      </c>
      <c r="F68" s="717">
        <v>0</v>
      </c>
      <c r="G68" s="717">
        <v>0</v>
      </c>
      <c r="H68" s="717">
        <f>SUM(H63:H65)/2</f>
        <v>1350</v>
      </c>
      <c r="I68" s="717">
        <v>0</v>
      </c>
      <c r="J68" s="717">
        <v>0</v>
      </c>
      <c r="K68" s="717">
        <v>0</v>
      </c>
      <c r="L68" s="717">
        <v>0</v>
      </c>
      <c r="M68" s="717">
        <v>0</v>
      </c>
      <c r="N68" s="717">
        <f>SUM(N63:N65)/2</f>
        <v>1350</v>
      </c>
      <c r="O68" s="717">
        <v>0</v>
      </c>
      <c r="P68" s="717">
        <v>0</v>
      </c>
      <c r="Q68" s="717">
        <v>0</v>
      </c>
      <c r="R68" s="703"/>
    </row>
    <row r="69" spans="1:18" ht="13.5">
      <c r="A69" s="300" t="s">
        <v>1483</v>
      </c>
      <c r="B69" s="300" t="s">
        <v>1467</v>
      </c>
      <c r="C69" s="300" t="s">
        <v>522</v>
      </c>
      <c r="D69" s="462" t="s">
        <v>1513</v>
      </c>
      <c r="E69" s="741">
        <f t="shared" si="20"/>
        <v>2700</v>
      </c>
      <c r="F69" s="717">
        <v>0</v>
      </c>
      <c r="G69" s="717">
        <v>0</v>
      </c>
      <c r="H69" s="717">
        <v>0</v>
      </c>
      <c r="I69" s="717">
        <v>0</v>
      </c>
      <c r="J69" s="717">
        <v>0</v>
      </c>
      <c r="K69" s="717">
        <v>0</v>
      </c>
      <c r="L69" s="717">
        <v>0</v>
      </c>
      <c r="M69" s="717">
        <v>0</v>
      </c>
      <c r="N69" s="717">
        <v>0</v>
      </c>
      <c r="O69" s="717">
        <v>0</v>
      </c>
      <c r="P69" s="717">
        <v>0</v>
      </c>
      <c r="Q69" s="717">
        <f>SUM(Q63:Q65)</f>
        <v>2700</v>
      </c>
      <c r="R69" s="703"/>
    </row>
    <row r="70" spans="1:18" ht="13.5">
      <c r="A70" s="536" t="s">
        <v>1483</v>
      </c>
      <c r="B70" s="476" t="s">
        <v>1467</v>
      </c>
      <c r="C70" s="686" t="s">
        <v>522</v>
      </c>
      <c r="D70" s="735" t="s">
        <v>1522</v>
      </c>
      <c r="E70" s="736">
        <f>SUM(E63:E69)</f>
        <v>41040</v>
      </c>
      <c r="F70" s="751">
        <f aca="true" t="shared" si="23" ref="F70:Q70">SUM(F63:F69)</f>
        <v>2970</v>
      </c>
      <c r="G70" s="751">
        <f t="shared" si="23"/>
        <v>2970</v>
      </c>
      <c r="H70" s="751">
        <f t="shared" si="23"/>
        <v>4320</v>
      </c>
      <c r="I70" s="751">
        <f t="shared" si="23"/>
        <v>2970</v>
      </c>
      <c r="J70" s="751">
        <f t="shared" si="23"/>
        <v>2970</v>
      </c>
      <c r="K70" s="751">
        <f t="shared" si="23"/>
        <v>2970</v>
      </c>
      <c r="L70" s="751">
        <f t="shared" si="23"/>
        <v>2970</v>
      </c>
      <c r="M70" s="751">
        <f t="shared" si="23"/>
        <v>2970</v>
      </c>
      <c r="N70" s="751">
        <f t="shared" si="23"/>
        <v>4320</v>
      </c>
      <c r="O70" s="751">
        <f t="shared" si="23"/>
        <v>2970</v>
      </c>
      <c r="P70" s="751">
        <f t="shared" si="23"/>
        <v>2970</v>
      </c>
      <c r="Q70" s="751">
        <f t="shared" si="23"/>
        <v>5670</v>
      </c>
      <c r="R70" s="738"/>
    </row>
    <row r="71" spans="1:18" ht="13.5">
      <c r="A71" s="300"/>
      <c r="B71" s="300"/>
      <c r="C71" s="300"/>
      <c r="D71" s="481"/>
      <c r="E71" s="695"/>
      <c r="F71" s="695"/>
      <c r="G71" s="695"/>
      <c r="H71" s="695"/>
      <c r="I71" s="695"/>
      <c r="J71" s="695"/>
      <c r="K71" s="695"/>
      <c r="L71" s="695"/>
      <c r="M71" s="695"/>
      <c r="N71" s="695"/>
      <c r="O71" s="695"/>
      <c r="P71" s="695"/>
      <c r="Q71" s="695"/>
      <c r="R71" s="484"/>
    </row>
    <row r="72" spans="1:18" ht="13.5">
      <c r="A72" s="300"/>
      <c r="B72" s="300"/>
      <c r="C72" s="300"/>
      <c r="D72" s="481"/>
      <c r="E72" s="695"/>
      <c r="F72" s="695"/>
      <c r="G72" s="695"/>
      <c r="H72" s="695"/>
      <c r="I72" s="695"/>
      <c r="J72" s="695"/>
      <c r="K72" s="695"/>
      <c r="L72" s="695"/>
      <c r="M72" s="695"/>
      <c r="N72" s="695"/>
      <c r="O72" s="695"/>
      <c r="P72" s="695"/>
      <c r="Q72" s="695"/>
      <c r="R72" s="484"/>
    </row>
    <row r="73" spans="1:18" ht="13.5">
      <c r="A73" s="831" t="s">
        <v>1526</v>
      </c>
      <c r="B73" s="832"/>
      <c r="C73" s="832"/>
      <c r="D73" s="833"/>
      <c r="E73" s="685" t="s">
        <v>799</v>
      </c>
      <c r="F73" s="685" t="s">
        <v>1250</v>
      </c>
      <c r="G73" s="685" t="s">
        <v>1251</v>
      </c>
      <c r="H73" s="685" t="s">
        <v>1252</v>
      </c>
      <c r="I73" s="685" t="s">
        <v>1253</v>
      </c>
      <c r="J73" s="685" t="s">
        <v>1254</v>
      </c>
      <c r="K73" s="685" t="s">
        <v>1255</v>
      </c>
      <c r="L73" s="685" t="s">
        <v>1256</v>
      </c>
      <c r="M73" s="685" t="s">
        <v>1257</v>
      </c>
      <c r="N73" s="685" t="s">
        <v>1258</v>
      </c>
      <c r="O73" s="685" t="s">
        <v>1259</v>
      </c>
      <c r="P73" s="685" t="s">
        <v>1260</v>
      </c>
      <c r="Q73" s="685" t="s">
        <v>1261</v>
      </c>
      <c r="R73" s="549"/>
    </row>
    <row r="74" spans="1:18" ht="13.5">
      <c r="A74" s="300" t="s">
        <v>1483</v>
      </c>
      <c r="B74" s="300" t="s">
        <v>1352</v>
      </c>
      <c r="C74" s="300" t="s">
        <v>522</v>
      </c>
      <c r="D74" s="607" t="s">
        <v>1527</v>
      </c>
      <c r="E74" s="741">
        <f aca="true" t="shared" si="24" ref="E74:E80">SUM(F74:Q74)</f>
        <v>16500</v>
      </c>
      <c r="F74" s="702">
        <f aca="true" t="shared" si="25" ref="F74:K74">2200*0.5</f>
        <v>1100</v>
      </c>
      <c r="G74" s="702">
        <f t="shared" si="25"/>
        <v>1100</v>
      </c>
      <c r="H74" s="702">
        <f t="shared" si="25"/>
        <v>1100</v>
      </c>
      <c r="I74" s="702">
        <f t="shared" si="25"/>
        <v>1100</v>
      </c>
      <c r="J74" s="702">
        <f t="shared" si="25"/>
        <v>1100</v>
      </c>
      <c r="K74" s="702">
        <f t="shared" si="25"/>
        <v>1100</v>
      </c>
      <c r="L74" s="702">
        <f aca="true" t="shared" si="26" ref="L74:Q74">2200*0.75</f>
        <v>1650</v>
      </c>
      <c r="M74" s="702">
        <f t="shared" si="26"/>
        <v>1650</v>
      </c>
      <c r="N74" s="702">
        <f t="shared" si="26"/>
        <v>1650</v>
      </c>
      <c r="O74" s="702">
        <f t="shared" si="26"/>
        <v>1650</v>
      </c>
      <c r="P74" s="702">
        <f t="shared" si="26"/>
        <v>1650</v>
      </c>
      <c r="Q74" s="702">
        <f t="shared" si="26"/>
        <v>1650</v>
      </c>
      <c r="R74" s="703"/>
    </row>
    <row r="75" spans="1:18" ht="13.5">
      <c r="A75" s="300" t="s">
        <v>1483</v>
      </c>
      <c r="B75" s="300" t="s">
        <v>1352</v>
      </c>
      <c r="C75" s="300" t="s">
        <v>522</v>
      </c>
      <c r="D75" s="607" t="s">
        <v>1528</v>
      </c>
      <c r="E75" s="741">
        <f t="shared" si="24"/>
        <v>5700</v>
      </c>
      <c r="F75" s="702">
        <v>0</v>
      </c>
      <c r="G75" s="702">
        <v>0</v>
      </c>
      <c r="H75" s="702">
        <v>0</v>
      </c>
      <c r="I75" s="702">
        <v>0</v>
      </c>
      <c r="J75" s="702">
        <v>0</v>
      </c>
      <c r="K75" s="702">
        <v>0</v>
      </c>
      <c r="L75" s="702">
        <v>950</v>
      </c>
      <c r="M75" s="702">
        <v>950</v>
      </c>
      <c r="N75" s="702">
        <v>950</v>
      </c>
      <c r="O75" s="702">
        <v>950</v>
      </c>
      <c r="P75" s="702">
        <v>950</v>
      </c>
      <c r="Q75" s="702">
        <v>950</v>
      </c>
      <c r="R75" s="703"/>
    </row>
    <row r="76" spans="1:18" ht="13.5">
      <c r="A76" s="300" t="s">
        <v>1483</v>
      </c>
      <c r="B76" s="300" t="s">
        <v>1352</v>
      </c>
      <c r="C76" s="300" t="s">
        <v>522</v>
      </c>
      <c r="D76" s="452" t="s">
        <v>1529</v>
      </c>
      <c r="E76" s="741">
        <f t="shared" si="24"/>
        <v>12600</v>
      </c>
      <c r="F76" s="717">
        <f>350*3</f>
        <v>1050</v>
      </c>
      <c r="G76" s="717">
        <f aca="true" t="shared" si="27" ref="G76:Q76">350*3</f>
        <v>1050</v>
      </c>
      <c r="H76" s="717">
        <f t="shared" si="27"/>
        <v>1050</v>
      </c>
      <c r="I76" s="717">
        <f t="shared" si="27"/>
        <v>1050</v>
      </c>
      <c r="J76" s="717">
        <f t="shared" si="27"/>
        <v>1050</v>
      </c>
      <c r="K76" s="717">
        <f t="shared" si="27"/>
        <v>1050</v>
      </c>
      <c r="L76" s="717">
        <f t="shared" si="27"/>
        <v>1050</v>
      </c>
      <c r="M76" s="717">
        <f t="shared" si="27"/>
        <v>1050</v>
      </c>
      <c r="N76" s="717">
        <f t="shared" si="27"/>
        <v>1050</v>
      </c>
      <c r="O76" s="717">
        <f t="shared" si="27"/>
        <v>1050</v>
      </c>
      <c r="P76" s="717">
        <f t="shared" si="27"/>
        <v>1050</v>
      </c>
      <c r="Q76" s="717">
        <f t="shared" si="27"/>
        <v>1050</v>
      </c>
      <c r="R76" s="703"/>
    </row>
    <row r="77" spans="1:18" ht="13.5">
      <c r="A77" s="300" t="s">
        <v>1483</v>
      </c>
      <c r="B77" s="300" t="s">
        <v>1352</v>
      </c>
      <c r="C77" s="300" t="s">
        <v>522</v>
      </c>
      <c r="D77" s="452" t="s">
        <v>1511</v>
      </c>
      <c r="E77" s="741">
        <f t="shared" si="24"/>
        <v>2784</v>
      </c>
      <c r="F77" s="717">
        <f aca="true" t="shared" si="28" ref="F77:Q77">SUM(F74:F76)*0.08</f>
        <v>172</v>
      </c>
      <c r="G77" s="717">
        <f t="shared" si="28"/>
        <v>172</v>
      </c>
      <c r="H77" s="717">
        <f t="shared" si="28"/>
        <v>172</v>
      </c>
      <c r="I77" s="717">
        <f t="shared" si="28"/>
        <v>172</v>
      </c>
      <c r="J77" s="717">
        <f t="shared" si="28"/>
        <v>172</v>
      </c>
      <c r="K77" s="717">
        <f t="shared" si="28"/>
        <v>172</v>
      </c>
      <c r="L77" s="717">
        <f t="shared" si="28"/>
        <v>292</v>
      </c>
      <c r="M77" s="717">
        <f t="shared" si="28"/>
        <v>292</v>
      </c>
      <c r="N77" s="717">
        <f t="shared" si="28"/>
        <v>292</v>
      </c>
      <c r="O77" s="717">
        <f t="shared" si="28"/>
        <v>292</v>
      </c>
      <c r="P77" s="717">
        <f t="shared" si="28"/>
        <v>292</v>
      </c>
      <c r="Q77" s="717">
        <f t="shared" si="28"/>
        <v>292</v>
      </c>
      <c r="R77" s="703"/>
    </row>
    <row r="78" spans="1:18" ht="13.5">
      <c r="A78" s="300" t="s">
        <v>1483</v>
      </c>
      <c r="B78" s="300" t="s">
        <v>1352</v>
      </c>
      <c r="C78" s="300" t="s">
        <v>522</v>
      </c>
      <c r="D78" s="452" t="s">
        <v>448</v>
      </c>
      <c r="E78" s="741">
        <f t="shared" si="24"/>
        <v>696</v>
      </c>
      <c r="F78" s="717">
        <f aca="true" t="shared" si="29" ref="F78:Q78">SUM(F74:F76)*0.02</f>
        <v>43</v>
      </c>
      <c r="G78" s="717">
        <f t="shared" si="29"/>
        <v>43</v>
      </c>
      <c r="H78" s="717">
        <f t="shared" si="29"/>
        <v>43</v>
      </c>
      <c r="I78" s="717">
        <f t="shared" si="29"/>
        <v>43</v>
      </c>
      <c r="J78" s="717">
        <f t="shared" si="29"/>
        <v>43</v>
      </c>
      <c r="K78" s="717">
        <f t="shared" si="29"/>
        <v>43</v>
      </c>
      <c r="L78" s="717">
        <f t="shared" si="29"/>
        <v>73</v>
      </c>
      <c r="M78" s="717">
        <f t="shared" si="29"/>
        <v>73</v>
      </c>
      <c r="N78" s="717">
        <f t="shared" si="29"/>
        <v>73</v>
      </c>
      <c r="O78" s="717">
        <f t="shared" si="29"/>
        <v>73</v>
      </c>
      <c r="P78" s="717">
        <f t="shared" si="29"/>
        <v>73</v>
      </c>
      <c r="Q78" s="717">
        <f t="shared" si="29"/>
        <v>73</v>
      </c>
      <c r="R78" s="703"/>
    </row>
    <row r="79" spans="1:18" ht="13.5">
      <c r="A79" s="300" t="s">
        <v>1483</v>
      </c>
      <c r="B79" s="300" t="s">
        <v>1352</v>
      </c>
      <c r="C79" s="300" t="s">
        <v>522</v>
      </c>
      <c r="D79" s="452" t="s">
        <v>1512</v>
      </c>
      <c r="E79" s="741">
        <f t="shared" si="24"/>
        <v>2900</v>
      </c>
      <c r="F79" s="717">
        <v>0</v>
      </c>
      <c r="G79" s="717">
        <v>0</v>
      </c>
      <c r="H79" s="717">
        <f>SUM(H74:H76)/2</f>
        <v>1075</v>
      </c>
      <c r="I79" s="717">
        <v>0</v>
      </c>
      <c r="J79" s="717">
        <v>0</v>
      </c>
      <c r="K79" s="717">
        <v>0</v>
      </c>
      <c r="L79" s="717">
        <v>0</v>
      </c>
      <c r="M79" s="717">
        <v>0</v>
      </c>
      <c r="N79" s="717">
        <f>SUM(N74:N76)/2</f>
        <v>1825</v>
      </c>
      <c r="O79" s="717">
        <v>0</v>
      </c>
      <c r="P79" s="717">
        <v>0</v>
      </c>
      <c r="Q79" s="717">
        <v>0</v>
      </c>
      <c r="R79" s="703"/>
    </row>
    <row r="80" spans="1:18" ht="13.5">
      <c r="A80" s="300" t="s">
        <v>1483</v>
      </c>
      <c r="B80" s="300" t="s">
        <v>1352</v>
      </c>
      <c r="C80" s="300" t="s">
        <v>522</v>
      </c>
      <c r="D80" s="452" t="s">
        <v>1513</v>
      </c>
      <c r="E80" s="741">
        <f t="shared" si="24"/>
        <v>3650</v>
      </c>
      <c r="F80" s="717">
        <v>0</v>
      </c>
      <c r="G80" s="717">
        <v>0</v>
      </c>
      <c r="H80" s="717">
        <v>0</v>
      </c>
      <c r="I80" s="717">
        <v>0</v>
      </c>
      <c r="J80" s="717">
        <v>0</v>
      </c>
      <c r="K80" s="717">
        <v>0</v>
      </c>
      <c r="L80" s="717">
        <v>0</v>
      </c>
      <c r="M80" s="717">
        <v>0</v>
      </c>
      <c r="N80" s="717">
        <v>0</v>
      </c>
      <c r="O80" s="717">
        <v>0</v>
      </c>
      <c r="P80" s="717">
        <v>0</v>
      </c>
      <c r="Q80" s="717">
        <f>SUM(Q74:Q76)</f>
        <v>3650</v>
      </c>
      <c r="R80" s="703"/>
    </row>
    <row r="81" spans="1:18" ht="13.5">
      <c r="A81" s="536" t="s">
        <v>1483</v>
      </c>
      <c r="B81" s="476" t="s">
        <v>1352</v>
      </c>
      <c r="C81" s="686" t="s">
        <v>522</v>
      </c>
      <c r="D81" s="735" t="s">
        <v>1526</v>
      </c>
      <c r="E81" s="736">
        <f>SUM(E74:E80)</f>
        <v>44830</v>
      </c>
      <c r="F81" s="751">
        <f aca="true" t="shared" si="30" ref="F81:Q81">SUM(F74:F80)</f>
        <v>2365</v>
      </c>
      <c r="G81" s="751">
        <f t="shared" si="30"/>
        <v>2365</v>
      </c>
      <c r="H81" s="751">
        <f t="shared" si="30"/>
        <v>3440</v>
      </c>
      <c r="I81" s="751">
        <f t="shared" si="30"/>
        <v>2365</v>
      </c>
      <c r="J81" s="751">
        <f t="shared" si="30"/>
        <v>2365</v>
      </c>
      <c r="K81" s="751">
        <f t="shared" si="30"/>
        <v>2365</v>
      </c>
      <c r="L81" s="751">
        <f t="shared" si="30"/>
        <v>4015</v>
      </c>
      <c r="M81" s="751">
        <f t="shared" si="30"/>
        <v>4015</v>
      </c>
      <c r="N81" s="751">
        <f t="shared" si="30"/>
        <v>5840</v>
      </c>
      <c r="O81" s="751">
        <f t="shared" si="30"/>
        <v>4015</v>
      </c>
      <c r="P81" s="751">
        <f t="shared" si="30"/>
        <v>4015</v>
      </c>
      <c r="Q81" s="751">
        <f t="shared" si="30"/>
        <v>7665</v>
      </c>
      <c r="R81" s="738"/>
    </row>
    <row r="82" spans="1:18" ht="13.5">
      <c r="A82" s="300"/>
      <c r="B82" s="300"/>
      <c r="C82" s="300"/>
      <c r="D82" s="544"/>
      <c r="E82" s="695"/>
      <c r="F82" s="695"/>
      <c r="G82" s="695"/>
      <c r="H82" s="695"/>
      <c r="I82" s="695"/>
      <c r="J82" s="695"/>
      <c r="K82" s="695"/>
      <c r="L82" s="695"/>
      <c r="M82" s="695"/>
      <c r="N82" s="695"/>
      <c r="O82" s="695"/>
      <c r="P82" s="695"/>
      <c r="Q82" s="695"/>
      <c r="R82" s="484"/>
    </row>
    <row r="83" spans="1:18" ht="13.5">
      <c r="A83" s="300"/>
      <c r="B83" s="300"/>
      <c r="C83" s="300"/>
      <c r="D83" s="544"/>
      <c r="E83" s="695"/>
      <c r="F83" s="695"/>
      <c r="G83" s="695"/>
      <c r="H83" s="695"/>
      <c r="I83" s="695"/>
      <c r="J83" s="695"/>
      <c r="K83" s="695"/>
      <c r="L83" s="695"/>
      <c r="M83" s="695"/>
      <c r="N83" s="695"/>
      <c r="O83" s="695"/>
      <c r="P83" s="695"/>
      <c r="Q83" s="695"/>
      <c r="R83" s="484"/>
    </row>
    <row r="84" spans="1:18" ht="13.5">
      <c r="A84" s="831" t="s">
        <v>1530</v>
      </c>
      <c r="B84" s="832"/>
      <c r="C84" s="832"/>
      <c r="D84" s="833"/>
      <c r="E84" s="685" t="s">
        <v>799</v>
      </c>
      <c r="F84" s="685" t="s">
        <v>1250</v>
      </c>
      <c r="G84" s="685" t="s">
        <v>1251</v>
      </c>
      <c r="H84" s="685" t="s">
        <v>1252</v>
      </c>
      <c r="I84" s="685" t="s">
        <v>1253</v>
      </c>
      <c r="J84" s="685" t="s">
        <v>1254</v>
      </c>
      <c r="K84" s="685" t="s">
        <v>1255</v>
      </c>
      <c r="L84" s="685" t="s">
        <v>1256</v>
      </c>
      <c r="M84" s="685" t="s">
        <v>1257</v>
      </c>
      <c r="N84" s="685" t="s">
        <v>1258</v>
      </c>
      <c r="O84" s="685" t="s">
        <v>1259</v>
      </c>
      <c r="P84" s="685" t="s">
        <v>1260</v>
      </c>
      <c r="Q84" s="685" t="s">
        <v>1261</v>
      </c>
      <c r="R84" s="549"/>
    </row>
    <row r="85" spans="1:18" ht="13.5">
      <c r="A85" s="300" t="s">
        <v>1483</v>
      </c>
      <c r="B85" s="300" t="s">
        <v>536</v>
      </c>
      <c r="C85" s="300" t="s">
        <v>522</v>
      </c>
      <c r="D85" s="452" t="s">
        <v>1531</v>
      </c>
      <c r="E85" s="741">
        <f aca="true" t="shared" si="31" ref="E85:E90">SUM(F85:Q85)</f>
        <v>13800</v>
      </c>
      <c r="F85" s="717">
        <v>1150</v>
      </c>
      <c r="G85" s="717">
        <v>1150</v>
      </c>
      <c r="H85" s="717">
        <v>1150</v>
      </c>
      <c r="I85" s="717">
        <v>1150</v>
      </c>
      <c r="J85" s="717">
        <v>1150</v>
      </c>
      <c r="K85" s="717">
        <v>1150</v>
      </c>
      <c r="L85" s="717">
        <v>1150</v>
      </c>
      <c r="M85" s="717">
        <v>1150</v>
      </c>
      <c r="N85" s="717">
        <v>1150</v>
      </c>
      <c r="O85" s="717">
        <v>1150</v>
      </c>
      <c r="P85" s="717">
        <v>1150</v>
      </c>
      <c r="Q85" s="717">
        <v>1150</v>
      </c>
      <c r="R85" s="703"/>
    </row>
    <row r="86" spans="1:18" ht="13.5">
      <c r="A86" s="300" t="s">
        <v>1483</v>
      </c>
      <c r="B86" s="300" t="s">
        <v>536</v>
      </c>
      <c r="C86" s="300" t="s">
        <v>522</v>
      </c>
      <c r="D86" s="452" t="s">
        <v>1532</v>
      </c>
      <c r="E86" s="741">
        <f t="shared" si="31"/>
        <v>8400</v>
      </c>
      <c r="F86" s="717">
        <v>700</v>
      </c>
      <c r="G86" s="717">
        <v>700</v>
      </c>
      <c r="H86" s="717">
        <v>700</v>
      </c>
      <c r="I86" s="717">
        <v>700</v>
      </c>
      <c r="J86" s="717">
        <v>700</v>
      </c>
      <c r="K86" s="717">
        <v>700</v>
      </c>
      <c r="L86" s="717">
        <v>700</v>
      </c>
      <c r="M86" s="717">
        <v>700</v>
      </c>
      <c r="N86" s="717">
        <v>700</v>
      </c>
      <c r="O86" s="717">
        <v>700</v>
      </c>
      <c r="P86" s="717">
        <v>700</v>
      </c>
      <c r="Q86" s="717">
        <v>700</v>
      </c>
      <c r="R86" s="703"/>
    </row>
    <row r="87" spans="1:18" ht="13.5">
      <c r="A87" s="300" t="s">
        <v>1483</v>
      </c>
      <c r="B87" s="300" t="s">
        <v>536</v>
      </c>
      <c r="C87" s="300" t="s">
        <v>522</v>
      </c>
      <c r="D87" s="462" t="s">
        <v>1511</v>
      </c>
      <c r="E87" s="741">
        <f t="shared" si="31"/>
        <v>1776</v>
      </c>
      <c r="F87" s="717">
        <f>SUM(F85:F86)*0.08</f>
        <v>148</v>
      </c>
      <c r="G87" s="717">
        <f aca="true" t="shared" si="32" ref="G87:Q87">SUM(G85:G86)*0.08</f>
        <v>148</v>
      </c>
      <c r="H87" s="717">
        <f t="shared" si="32"/>
        <v>148</v>
      </c>
      <c r="I87" s="717">
        <f t="shared" si="32"/>
        <v>148</v>
      </c>
      <c r="J87" s="717">
        <f t="shared" si="32"/>
        <v>148</v>
      </c>
      <c r="K87" s="717">
        <f t="shared" si="32"/>
        <v>148</v>
      </c>
      <c r="L87" s="717">
        <f t="shared" si="32"/>
        <v>148</v>
      </c>
      <c r="M87" s="717">
        <f t="shared" si="32"/>
        <v>148</v>
      </c>
      <c r="N87" s="717">
        <f t="shared" si="32"/>
        <v>148</v>
      </c>
      <c r="O87" s="717">
        <f t="shared" si="32"/>
        <v>148</v>
      </c>
      <c r="P87" s="717">
        <f t="shared" si="32"/>
        <v>148</v>
      </c>
      <c r="Q87" s="717">
        <f t="shared" si="32"/>
        <v>148</v>
      </c>
      <c r="R87" s="703"/>
    </row>
    <row r="88" spans="1:18" ht="13.5">
      <c r="A88" s="300" t="s">
        <v>1483</v>
      </c>
      <c r="B88" s="300" t="s">
        <v>536</v>
      </c>
      <c r="C88" s="300" t="s">
        <v>522</v>
      </c>
      <c r="D88" s="462" t="s">
        <v>448</v>
      </c>
      <c r="E88" s="741">
        <f t="shared" si="31"/>
        <v>444</v>
      </c>
      <c r="F88" s="717">
        <f>SUM(F85:F86)*0.02</f>
        <v>37</v>
      </c>
      <c r="G88" s="717">
        <f aca="true" t="shared" si="33" ref="G88:Q88">SUM(G85:G86)*0.02</f>
        <v>37</v>
      </c>
      <c r="H88" s="717">
        <f t="shared" si="33"/>
        <v>37</v>
      </c>
      <c r="I88" s="717">
        <f t="shared" si="33"/>
        <v>37</v>
      </c>
      <c r="J88" s="717">
        <f t="shared" si="33"/>
        <v>37</v>
      </c>
      <c r="K88" s="717">
        <f t="shared" si="33"/>
        <v>37</v>
      </c>
      <c r="L88" s="717">
        <f t="shared" si="33"/>
        <v>37</v>
      </c>
      <c r="M88" s="717">
        <f t="shared" si="33"/>
        <v>37</v>
      </c>
      <c r="N88" s="717">
        <f t="shared" si="33"/>
        <v>37</v>
      </c>
      <c r="O88" s="717">
        <f t="shared" si="33"/>
        <v>37</v>
      </c>
      <c r="P88" s="717">
        <f t="shared" si="33"/>
        <v>37</v>
      </c>
      <c r="Q88" s="717">
        <f t="shared" si="33"/>
        <v>37</v>
      </c>
      <c r="R88" s="703"/>
    </row>
    <row r="89" spans="1:18" ht="13.5">
      <c r="A89" s="300" t="s">
        <v>1483</v>
      </c>
      <c r="B89" s="300" t="s">
        <v>536</v>
      </c>
      <c r="C89" s="300" t="s">
        <v>522</v>
      </c>
      <c r="D89" s="462" t="s">
        <v>1512</v>
      </c>
      <c r="E89" s="741">
        <f t="shared" si="31"/>
        <v>1850</v>
      </c>
      <c r="F89" s="717">
        <v>0</v>
      </c>
      <c r="G89" s="717">
        <v>0</v>
      </c>
      <c r="H89" s="717">
        <f>SUM(H85:H86)/2</f>
        <v>925</v>
      </c>
      <c r="I89" s="717">
        <v>0</v>
      </c>
      <c r="J89" s="717">
        <v>0</v>
      </c>
      <c r="K89" s="717">
        <v>0</v>
      </c>
      <c r="L89" s="717">
        <v>0</v>
      </c>
      <c r="M89" s="717">
        <v>0</v>
      </c>
      <c r="N89" s="717">
        <f>SUM(N85:N86)/2</f>
        <v>925</v>
      </c>
      <c r="O89" s="717">
        <v>0</v>
      </c>
      <c r="P89" s="717">
        <v>0</v>
      </c>
      <c r="Q89" s="717">
        <v>0</v>
      </c>
      <c r="R89" s="703"/>
    </row>
    <row r="90" spans="1:18" ht="13.5">
      <c r="A90" s="300" t="s">
        <v>1483</v>
      </c>
      <c r="B90" s="300" t="s">
        <v>536</v>
      </c>
      <c r="C90" s="300" t="s">
        <v>522</v>
      </c>
      <c r="D90" s="462" t="s">
        <v>1513</v>
      </c>
      <c r="E90" s="741">
        <f t="shared" si="31"/>
        <v>1850</v>
      </c>
      <c r="F90" s="717">
        <v>0</v>
      </c>
      <c r="G90" s="717">
        <v>0</v>
      </c>
      <c r="H90" s="717">
        <v>0</v>
      </c>
      <c r="I90" s="717">
        <v>0</v>
      </c>
      <c r="J90" s="717">
        <v>0</v>
      </c>
      <c r="K90" s="717">
        <v>0</v>
      </c>
      <c r="L90" s="717">
        <v>0</v>
      </c>
      <c r="M90" s="717">
        <v>0</v>
      </c>
      <c r="N90" s="717">
        <v>0</v>
      </c>
      <c r="O90" s="717">
        <v>0</v>
      </c>
      <c r="P90" s="717">
        <v>0</v>
      </c>
      <c r="Q90" s="717">
        <f>SUM(Q85:Q86)</f>
        <v>1850</v>
      </c>
      <c r="R90" s="703"/>
    </row>
    <row r="91" spans="1:18" ht="13.5">
      <c r="A91" s="536" t="s">
        <v>1483</v>
      </c>
      <c r="B91" s="476" t="s">
        <v>536</v>
      </c>
      <c r="C91" s="686" t="s">
        <v>522</v>
      </c>
      <c r="D91" s="735" t="s">
        <v>1530</v>
      </c>
      <c r="E91" s="736">
        <f>SUM(E85:E90)</f>
        <v>28120</v>
      </c>
      <c r="F91" s="751">
        <f aca="true" t="shared" si="34" ref="F91:Q91">SUM(F85:F90)</f>
        <v>2035</v>
      </c>
      <c r="G91" s="751">
        <f t="shared" si="34"/>
        <v>2035</v>
      </c>
      <c r="H91" s="751">
        <f t="shared" si="34"/>
        <v>2960</v>
      </c>
      <c r="I91" s="751">
        <f t="shared" si="34"/>
        <v>2035</v>
      </c>
      <c r="J91" s="751">
        <f t="shared" si="34"/>
        <v>2035</v>
      </c>
      <c r="K91" s="751">
        <f t="shared" si="34"/>
        <v>2035</v>
      </c>
      <c r="L91" s="751">
        <f t="shared" si="34"/>
        <v>2035</v>
      </c>
      <c r="M91" s="751">
        <f t="shared" si="34"/>
        <v>2035</v>
      </c>
      <c r="N91" s="751">
        <f t="shared" si="34"/>
        <v>2960</v>
      </c>
      <c r="O91" s="751">
        <f t="shared" si="34"/>
        <v>2035</v>
      </c>
      <c r="P91" s="751">
        <f t="shared" si="34"/>
        <v>2035</v>
      </c>
      <c r="Q91" s="751">
        <f t="shared" si="34"/>
        <v>3885</v>
      </c>
      <c r="R91" s="738"/>
    </row>
    <row r="92" spans="1:18" ht="13.5">
      <c r="A92" s="300"/>
      <c r="B92" s="300"/>
      <c r="C92" s="300"/>
      <c r="D92" s="481"/>
      <c r="E92" s="695"/>
      <c r="F92" s="695"/>
      <c r="G92" s="695"/>
      <c r="H92" s="695"/>
      <c r="I92" s="695"/>
      <c r="J92" s="695"/>
      <c r="K92" s="695"/>
      <c r="L92" s="695"/>
      <c r="M92" s="695"/>
      <c r="N92" s="695"/>
      <c r="O92" s="695"/>
      <c r="P92" s="695"/>
      <c r="Q92" s="695"/>
      <c r="R92" s="484"/>
    </row>
    <row r="93" spans="1:18" ht="13.5">
      <c r="A93" s="300"/>
      <c r="B93" s="300"/>
      <c r="C93" s="300"/>
      <c r="D93" s="481"/>
      <c r="E93" s="695"/>
      <c r="F93" s="695"/>
      <c r="G93" s="695"/>
      <c r="H93" s="695"/>
      <c r="I93" s="695"/>
      <c r="J93" s="695"/>
      <c r="K93" s="695"/>
      <c r="L93" s="695"/>
      <c r="M93" s="695"/>
      <c r="N93" s="695"/>
      <c r="O93" s="695"/>
      <c r="P93" s="695"/>
      <c r="Q93" s="695"/>
      <c r="R93" s="484"/>
    </row>
    <row r="94" spans="1:18" ht="13.5">
      <c r="A94" s="831" t="s">
        <v>1533</v>
      </c>
      <c r="B94" s="832"/>
      <c r="C94" s="832"/>
      <c r="D94" s="833"/>
      <c r="E94" s="685" t="s">
        <v>799</v>
      </c>
      <c r="F94" s="685" t="s">
        <v>1250</v>
      </c>
      <c r="G94" s="685" t="s">
        <v>1251</v>
      </c>
      <c r="H94" s="685" t="s">
        <v>1252</v>
      </c>
      <c r="I94" s="685" t="s">
        <v>1253</v>
      </c>
      <c r="J94" s="685" t="s">
        <v>1254</v>
      </c>
      <c r="K94" s="685" t="s">
        <v>1255</v>
      </c>
      <c r="L94" s="685" t="s">
        <v>1256</v>
      </c>
      <c r="M94" s="685" t="s">
        <v>1257</v>
      </c>
      <c r="N94" s="685" t="s">
        <v>1258</v>
      </c>
      <c r="O94" s="685" t="s">
        <v>1259</v>
      </c>
      <c r="P94" s="685" t="s">
        <v>1260</v>
      </c>
      <c r="Q94" s="685" t="s">
        <v>1261</v>
      </c>
      <c r="R94" s="549"/>
    </row>
    <row r="95" spans="1:18" ht="13.5">
      <c r="A95" s="300" t="s">
        <v>1483</v>
      </c>
      <c r="B95" s="300" t="s">
        <v>1467</v>
      </c>
      <c r="C95" s="300" t="s">
        <v>524</v>
      </c>
      <c r="D95" s="462" t="s">
        <v>1534</v>
      </c>
      <c r="E95" s="741">
        <f aca="true" t="shared" si="35" ref="E95:E102">SUM(F95:Q95)</f>
        <v>18000</v>
      </c>
      <c r="F95" s="717">
        <v>1500</v>
      </c>
      <c r="G95" s="717">
        <v>1500</v>
      </c>
      <c r="H95" s="717">
        <v>1500</v>
      </c>
      <c r="I95" s="717">
        <v>1500</v>
      </c>
      <c r="J95" s="717">
        <v>1500</v>
      </c>
      <c r="K95" s="717">
        <v>1500</v>
      </c>
      <c r="L95" s="717">
        <v>1500</v>
      </c>
      <c r="M95" s="717">
        <v>1500</v>
      </c>
      <c r="N95" s="717">
        <v>1500</v>
      </c>
      <c r="O95" s="717">
        <v>1500</v>
      </c>
      <c r="P95" s="717">
        <v>1500</v>
      </c>
      <c r="Q95" s="717">
        <v>1500</v>
      </c>
      <c r="R95" s="703"/>
    </row>
    <row r="96" spans="1:18" ht="13.5">
      <c r="A96" s="300" t="s">
        <v>1483</v>
      </c>
      <c r="B96" s="300" t="s">
        <v>1467</v>
      </c>
      <c r="C96" s="300" t="s">
        <v>524</v>
      </c>
      <c r="D96" s="452" t="s">
        <v>1535</v>
      </c>
      <c r="E96" s="741">
        <f t="shared" si="35"/>
        <v>27600</v>
      </c>
      <c r="F96" s="717">
        <v>2300</v>
      </c>
      <c r="G96" s="717">
        <v>2300</v>
      </c>
      <c r="H96" s="717">
        <v>2300</v>
      </c>
      <c r="I96" s="717">
        <v>2300</v>
      </c>
      <c r="J96" s="717">
        <v>2300</v>
      </c>
      <c r="K96" s="717">
        <v>2300</v>
      </c>
      <c r="L96" s="717">
        <v>2300</v>
      </c>
      <c r="M96" s="717">
        <v>2300</v>
      </c>
      <c r="N96" s="717">
        <v>2300</v>
      </c>
      <c r="O96" s="717">
        <v>2300</v>
      </c>
      <c r="P96" s="717">
        <v>2300</v>
      </c>
      <c r="Q96" s="717">
        <v>2300</v>
      </c>
      <c r="R96" s="742"/>
    </row>
    <row r="97" spans="1:18" ht="13.5">
      <c r="A97" s="300" t="s">
        <v>1483</v>
      </c>
      <c r="B97" s="300" t="s">
        <v>1467</v>
      </c>
      <c r="C97" s="300" t="s">
        <v>524</v>
      </c>
      <c r="D97" s="462" t="s">
        <v>1524</v>
      </c>
      <c r="E97" s="741">
        <f t="shared" si="35"/>
        <v>10200</v>
      </c>
      <c r="F97" s="717">
        <v>850</v>
      </c>
      <c r="G97" s="717">
        <v>850</v>
      </c>
      <c r="H97" s="717">
        <v>850</v>
      </c>
      <c r="I97" s="717">
        <v>850</v>
      </c>
      <c r="J97" s="717">
        <v>850</v>
      </c>
      <c r="K97" s="717">
        <v>850</v>
      </c>
      <c r="L97" s="717">
        <v>850</v>
      </c>
      <c r="M97" s="717">
        <v>850</v>
      </c>
      <c r="N97" s="717">
        <v>850</v>
      </c>
      <c r="O97" s="717">
        <v>850</v>
      </c>
      <c r="P97" s="717">
        <v>850</v>
      </c>
      <c r="Q97" s="717">
        <v>850</v>
      </c>
      <c r="R97" s="703"/>
    </row>
    <row r="98" spans="1:18" ht="13.5">
      <c r="A98" s="300" t="s">
        <v>1483</v>
      </c>
      <c r="B98" s="300" t="s">
        <v>1467</v>
      </c>
      <c r="C98" s="300" t="s">
        <v>524</v>
      </c>
      <c r="D98" s="462" t="s">
        <v>1536</v>
      </c>
      <c r="E98" s="741">
        <f t="shared" si="35"/>
        <v>16800</v>
      </c>
      <c r="F98" s="717">
        <f>700*2</f>
        <v>1400</v>
      </c>
      <c r="G98" s="717">
        <f aca="true" t="shared" si="36" ref="G98:Q98">700*2</f>
        <v>1400</v>
      </c>
      <c r="H98" s="717">
        <f t="shared" si="36"/>
        <v>1400</v>
      </c>
      <c r="I98" s="717">
        <f t="shared" si="36"/>
        <v>1400</v>
      </c>
      <c r="J98" s="717">
        <f t="shared" si="36"/>
        <v>1400</v>
      </c>
      <c r="K98" s="717">
        <f t="shared" si="36"/>
        <v>1400</v>
      </c>
      <c r="L98" s="717">
        <f t="shared" si="36"/>
        <v>1400</v>
      </c>
      <c r="M98" s="717">
        <f t="shared" si="36"/>
        <v>1400</v>
      </c>
      <c r="N98" s="717">
        <f t="shared" si="36"/>
        <v>1400</v>
      </c>
      <c r="O98" s="717">
        <f t="shared" si="36"/>
        <v>1400</v>
      </c>
      <c r="P98" s="717">
        <f t="shared" si="36"/>
        <v>1400</v>
      </c>
      <c r="Q98" s="717">
        <f t="shared" si="36"/>
        <v>1400</v>
      </c>
      <c r="R98" s="703"/>
    </row>
    <row r="99" spans="1:18" ht="13.5">
      <c r="A99" s="300" t="s">
        <v>1483</v>
      </c>
      <c r="B99" s="300" t="s">
        <v>1467</v>
      </c>
      <c r="C99" s="300" t="s">
        <v>524</v>
      </c>
      <c r="D99" s="462" t="s">
        <v>1511</v>
      </c>
      <c r="E99" s="741">
        <f t="shared" si="35"/>
        <v>5808</v>
      </c>
      <c r="F99" s="717">
        <f>SUM(F95:F98)*0.08</f>
        <v>484</v>
      </c>
      <c r="G99" s="717">
        <f aca="true" t="shared" si="37" ref="G99:Q99">SUM(G95:G98)*0.08</f>
        <v>484</v>
      </c>
      <c r="H99" s="717">
        <f t="shared" si="37"/>
        <v>484</v>
      </c>
      <c r="I99" s="717">
        <f t="shared" si="37"/>
        <v>484</v>
      </c>
      <c r="J99" s="717">
        <f t="shared" si="37"/>
        <v>484</v>
      </c>
      <c r="K99" s="717">
        <f t="shared" si="37"/>
        <v>484</v>
      </c>
      <c r="L99" s="717">
        <f t="shared" si="37"/>
        <v>484</v>
      </c>
      <c r="M99" s="717">
        <f t="shared" si="37"/>
        <v>484</v>
      </c>
      <c r="N99" s="717">
        <f t="shared" si="37"/>
        <v>484</v>
      </c>
      <c r="O99" s="717">
        <f t="shared" si="37"/>
        <v>484</v>
      </c>
      <c r="P99" s="717">
        <f t="shared" si="37"/>
        <v>484</v>
      </c>
      <c r="Q99" s="717">
        <f t="shared" si="37"/>
        <v>484</v>
      </c>
      <c r="R99" s="703"/>
    </row>
    <row r="100" spans="1:18" ht="13.5">
      <c r="A100" s="300" t="s">
        <v>1483</v>
      </c>
      <c r="B100" s="300" t="s">
        <v>1467</v>
      </c>
      <c r="C100" s="300" t="s">
        <v>524</v>
      </c>
      <c r="D100" s="462" t="s">
        <v>448</v>
      </c>
      <c r="E100" s="741">
        <f t="shared" si="35"/>
        <v>1452</v>
      </c>
      <c r="F100" s="717">
        <f>SUM(F95:F98)*0.02</f>
        <v>121</v>
      </c>
      <c r="G100" s="717">
        <f aca="true" t="shared" si="38" ref="G100:Q100">SUM(G95:G98)*0.02</f>
        <v>121</v>
      </c>
      <c r="H100" s="717">
        <f t="shared" si="38"/>
        <v>121</v>
      </c>
      <c r="I100" s="717">
        <f t="shared" si="38"/>
        <v>121</v>
      </c>
      <c r="J100" s="717">
        <f t="shared" si="38"/>
        <v>121</v>
      </c>
      <c r="K100" s="717">
        <f t="shared" si="38"/>
        <v>121</v>
      </c>
      <c r="L100" s="717">
        <f t="shared" si="38"/>
        <v>121</v>
      </c>
      <c r="M100" s="717">
        <f t="shared" si="38"/>
        <v>121</v>
      </c>
      <c r="N100" s="717">
        <f t="shared" si="38"/>
        <v>121</v>
      </c>
      <c r="O100" s="717">
        <f t="shared" si="38"/>
        <v>121</v>
      </c>
      <c r="P100" s="717">
        <f t="shared" si="38"/>
        <v>121</v>
      </c>
      <c r="Q100" s="717">
        <f t="shared" si="38"/>
        <v>121</v>
      </c>
      <c r="R100" s="703"/>
    </row>
    <row r="101" spans="1:18" ht="13.5">
      <c r="A101" s="300" t="s">
        <v>1483</v>
      </c>
      <c r="B101" s="300" t="s">
        <v>1467</v>
      </c>
      <c r="C101" s="300" t="s">
        <v>524</v>
      </c>
      <c r="D101" s="462" t="s">
        <v>1512</v>
      </c>
      <c r="E101" s="741">
        <f t="shared" si="35"/>
        <v>6050</v>
      </c>
      <c r="F101" s="717">
        <v>0</v>
      </c>
      <c r="G101" s="717">
        <v>0</v>
      </c>
      <c r="H101" s="717">
        <f>SUM(H95:H98)/2</f>
        <v>3025</v>
      </c>
      <c r="I101" s="717">
        <v>0</v>
      </c>
      <c r="J101" s="717">
        <v>0</v>
      </c>
      <c r="K101" s="717">
        <v>0</v>
      </c>
      <c r="L101" s="717">
        <v>0</v>
      </c>
      <c r="M101" s="717">
        <v>0</v>
      </c>
      <c r="N101" s="717">
        <f>SUM(N95:N98)/2</f>
        <v>3025</v>
      </c>
      <c r="O101" s="717">
        <v>0</v>
      </c>
      <c r="P101" s="717">
        <v>0</v>
      </c>
      <c r="Q101" s="717">
        <v>0</v>
      </c>
      <c r="R101" s="703"/>
    </row>
    <row r="102" spans="1:18" ht="13.5">
      <c r="A102" s="300" t="s">
        <v>1483</v>
      </c>
      <c r="B102" s="300" t="s">
        <v>1467</v>
      </c>
      <c r="C102" s="300" t="s">
        <v>524</v>
      </c>
      <c r="D102" s="462" t="s">
        <v>1513</v>
      </c>
      <c r="E102" s="741">
        <f t="shared" si="35"/>
        <v>6050</v>
      </c>
      <c r="F102" s="717">
        <v>0</v>
      </c>
      <c r="G102" s="717">
        <v>0</v>
      </c>
      <c r="H102" s="717">
        <v>0</v>
      </c>
      <c r="I102" s="717">
        <v>0</v>
      </c>
      <c r="J102" s="717">
        <v>0</v>
      </c>
      <c r="K102" s="717">
        <v>0</v>
      </c>
      <c r="L102" s="717">
        <v>0</v>
      </c>
      <c r="M102" s="717">
        <v>0</v>
      </c>
      <c r="N102" s="717">
        <v>0</v>
      </c>
      <c r="O102" s="717">
        <v>0</v>
      </c>
      <c r="P102" s="717">
        <v>0</v>
      </c>
      <c r="Q102" s="717">
        <f>SUM(Q95:Q98)</f>
        <v>6050</v>
      </c>
      <c r="R102" s="703"/>
    </row>
    <row r="103" spans="1:18" ht="13.5">
      <c r="A103" s="536" t="s">
        <v>1483</v>
      </c>
      <c r="B103" s="476" t="s">
        <v>1467</v>
      </c>
      <c r="C103" s="686" t="s">
        <v>524</v>
      </c>
      <c r="D103" s="735" t="s">
        <v>1533</v>
      </c>
      <c r="E103" s="736">
        <f>SUM(E95:E102)</f>
        <v>91960</v>
      </c>
      <c r="F103" s="751">
        <f aca="true" t="shared" si="39" ref="F103:Q103">SUM(F95:F102)</f>
        <v>6655</v>
      </c>
      <c r="G103" s="751">
        <f t="shared" si="39"/>
        <v>6655</v>
      </c>
      <c r="H103" s="751">
        <f t="shared" si="39"/>
        <v>9680</v>
      </c>
      <c r="I103" s="751">
        <f t="shared" si="39"/>
        <v>6655</v>
      </c>
      <c r="J103" s="751">
        <f t="shared" si="39"/>
        <v>6655</v>
      </c>
      <c r="K103" s="751">
        <f t="shared" si="39"/>
        <v>6655</v>
      </c>
      <c r="L103" s="751">
        <f t="shared" si="39"/>
        <v>6655</v>
      </c>
      <c r="M103" s="751">
        <f t="shared" si="39"/>
        <v>6655</v>
      </c>
      <c r="N103" s="751">
        <f t="shared" si="39"/>
        <v>9680</v>
      </c>
      <c r="O103" s="751">
        <f t="shared" si="39"/>
        <v>6655</v>
      </c>
      <c r="P103" s="751">
        <f t="shared" si="39"/>
        <v>6655</v>
      </c>
      <c r="Q103" s="751">
        <f t="shared" si="39"/>
        <v>12705</v>
      </c>
      <c r="R103" s="738"/>
    </row>
    <row r="104" spans="1:18" ht="13.5">
      <c r="A104" s="300"/>
      <c r="B104" s="300"/>
      <c r="C104" s="300"/>
      <c r="D104" s="481"/>
      <c r="E104" s="695"/>
      <c r="F104" s="695"/>
      <c r="G104" s="695"/>
      <c r="H104" s="695"/>
      <c r="I104" s="695"/>
      <c r="J104" s="695"/>
      <c r="K104" s="695"/>
      <c r="L104" s="695"/>
      <c r="M104" s="695"/>
      <c r="N104" s="695"/>
      <c r="O104" s="695"/>
      <c r="P104" s="695"/>
      <c r="Q104" s="695"/>
      <c r="R104" s="484"/>
    </row>
    <row r="105" spans="1:18" ht="13.5">
      <c r="A105" s="300"/>
      <c r="B105" s="300"/>
      <c r="C105" s="300"/>
      <c r="D105" s="481"/>
      <c r="E105" s="695"/>
      <c r="F105" s="695"/>
      <c r="G105" s="695"/>
      <c r="H105" s="695"/>
      <c r="I105" s="695"/>
      <c r="J105" s="695"/>
      <c r="K105" s="695"/>
      <c r="L105" s="695"/>
      <c r="M105" s="695"/>
      <c r="N105" s="695"/>
      <c r="O105" s="695"/>
      <c r="P105" s="695"/>
      <c r="Q105" s="695"/>
      <c r="R105" s="484"/>
    </row>
    <row r="106" spans="1:18" ht="13.5">
      <c r="A106" s="831" t="s">
        <v>1537</v>
      </c>
      <c r="B106" s="832"/>
      <c r="C106" s="832"/>
      <c r="D106" s="833"/>
      <c r="E106" s="685" t="s">
        <v>799</v>
      </c>
      <c r="F106" s="685" t="s">
        <v>1250</v>
      </c>
      <c r="G106" s="685" t="s">
        <v>1251</v>
      </c>
      <c r="H106" s="685" t="s">
        <v>1252</v>
      </c>
      <c r="I106" s="685" t="s">
        <v>1253</v>
      </c>
      <c r="J106" s="685" t="s">
        <v>1254</v>
      </c>
      <c r="K106" s="685" t="s">
        <v>1255</v>
      </c>
      <c r="L106" s="685" t="s">
        <v>1256</v>
      </c>
      <c r="M106" s="685" t="s">
        <v>1257</v>
      </c>
      <c r="N106" s="685" t="s">
        <v>1258</v>
      </c>
      <c r="O106" s="685" t="s">
        <v>1259</v>
      </c>
      <c r="P106" s="685" t="s">
        <v>1260</v>
      </c>
      <c r="Q106" s="685" t="s">
        <v>1261</v>
      </c>
      <c r="R106" s="549"/>
    </row>
    <row r="107" spans="1:18" ht="13.5">
      <c r="A107" s="300" t="s">
        <v>1483</v>
      </c>
      <c r="B107" s="300" t="s">
        <v>1352</v>
      </c>
      <c r="C107" s="300" t="s">
        <v>524</v>
      </c>
      <c r="D107" s="607" t="s">
        <v>1538</v>
      </c>
      <c r="E107" s="741">
        <f aca="true" t="shared" si="40" ref="E107:E114">SUM(F107:Q107)</f>
        <v>6300</v>
      </c>
      <c r="F107" s="702">
        <f>2100/4</f>
        <v>525</v>
      </c>
      <c r="G107" s="702">
        <f aca="true" t="shared" si="41" ref="G107:Q107">2100/4</f>
        <v>525</v>
      </c>
      <c r="H107" s="702">
        <f t="shared" si="41"/>
        <v>525</v>
      </c>
      <c r="I107" s="702">
        <f t="shared" si="41"/>
        <v>525</v>
      </c>
      <c r="J107" s="702">
        <f t="shared" si="41"/>
        <v>525</v>
      </c>
      <c r="K107" s="702">
        <f t="shared" si="41"/>
        <v>525</v>
      </c>
      <c r="L107" s="702">
        <f t="shared" si="41"/>
        <v>525</v>
      </c>
      <c r="M107" s="702">
        <f t="shared" si="41"/>
        <v>525</v>
      </c>
      <c r="N107" s="702">
        <f t="shared" si="41"/>
        <v>525</v>
      </c>
      <c r="O107" s="702">
        <f t="shared" si="41"/>
        <v>525</v>
      </c>
      <c r="P107" s="702">
        <f t="shared" si="41"/>
        <v>525</v>
      </c>
      <c r="Q107" s="702">
        <f t="shared" si="41"/>
        <v>525</v>
      </c>
      <c r="R107" s="703"/>
    </row>
    <row r="108" spans="1:18" ht="13.5">
      <c r="A108" s="300" t="s">
        <v>1483</v>
      </c>
      <c r="B108" s="300" t="s">
        <v>1352</v>
      </c>
      <c r="C108" s="300" t="s">
        <v>524</v>
      </c>
      <c r="D108" s="607" t="s">
        <v>1539</v>
      </c>
      <c r="E108" s="741">
        <f t="shared" si="40"/>
        <v>2100</v>
      </c>
      <c r="F108" s="702">
        <f>700/4</f>
        <v>175</v>
      </c>
      <c r="G108" s="702">
        <f aca="true" t="shared" si="42" ref="G108:Q108">700/4</f>
        <v>175</v>
      </c>
      <c r="H108" s="702">
        <f t="shared" si="42"/>
        <v>175</v>
      </c>
      <c r="I108" s="702">
        <f t="shared" si="42"/>
        <v>175</v>
      </c>
      <c r="J108" s="702">
        <f t="shared" si="42"/>
        <v>175</v>
      </c>
      <c r="K108" s="702">
        <f t="shared" si="42"/>
        <v>175</v>
      </c>
      <c r="L108" s="702">
        <f t="shared" si="42"/>
        <v>175</v>
      </c>
      <c r="M108" s="702">
        <f t="shared" si="42"/>
        <v>175</v>
      </c>
      <c r="N108" s="702">
        <f t="shared" si="42"/>
        <v>175</v>
      </c>
      <c r="O108" s="702">
        <f t="shared" si="42"/>
        <v>175</v>
      </c>
      <c r="P108" s="702">
        <f t="shared" si="42"/>
        <v>175</v>
      </c>
      <c r="Q108" s="702">
        <f t="shared" si="42"/>
        <v>175</v>
      </c>
      <c r="R108" s="755"/>
    </row>
    <row r="109" spans="1:18" ht="13.5">
      <c r="A109" s="300" t="s">
        <v>1483</v>
      </c>
      <c r="B109" s="300" t="s">
        <v>1352</v>
      </c>
      <c r="C109" s="300" t="s">
        <v>524</v>
      </c>
      <c r="D109" s="462" t="s">
        <v>1540</v>
      </c>
      <c r="E109" s="741">
        <f t="shared" si="40"/>
        <v>2100</v>
      </c>
      <c r="F109" s="717">
        <v>175</v>
      </c>
      <c r="G109" s="717">
        <v>175</v>
      </c>
      <c r="H109" s="717">
        <v>175</v>
      </c>
      <c r="I109" s="717">
        <v>175</v>
      </c>
      <c r="J109" s="717">
        <v>175</v>
      </c>
      <c r="K109" s="717">
        <v>175</v>
      </c>
      <c r="L109" s="717">
        <v>175</v>
      </c>
      <c r="M109" s="717">
        <v>175</v>
      </c>
      <c r="N109" s="717">
        <v>175</v>
      </c>
      <c r="O109" s="717">
        <v>175</v>
      </c>
      <c r="P109" s="717">
        <v>175</v>
      </c>
      <c r="Q109" s="717">
        <v>175</v>
      </c>
      <c r="R109" s="703"/>
    </row>
    <row r="110" spans="1:18" ht="13.5">
      <c r="A110" s="300" t="s">
        <v>1483</v>
      </c>
      <c r="B110" s="300" t="s">
        <v>1352</v>
      </c>
      <c r="C110" s="300" t="s">
        <v>524</v>
      </c>
      <c r="D110" s="462" t="s">
        <v>1529</v>
      </c>
      <c r="E110" s="741">
        <f t="shared" si="40"/>
        <v>12600</v>
      </c>
      <c r="F110" s="717">
        <f>350*3</f>
        <v>1050</v>
      </c>
      <c r="G110" s="717">
        <f aca="true" t="shared" si="43" ref="G110:Q110">350*3</f>
        <v>1050</v>
      </c>
      <c r="H110" s="717">
        <f t="shared" si="43"/>
        <v>1050</v>
      </c>
      <c r="I110" s="717">
        <f t="shared" si="43"/>
        <v>1050</v>
      </c>
      <c r="J110" s="717">
        <f t="shared" si="43"/>
        <v>1050</v>
      </c>
      <c r="K110" s="717">
        <f t="shared" si="43"/>
        <v>1050</v>
      </c>
      <c r="L110" s="717">
        <f t="shared" si="43"/>
        <v>1050</v>
      </c>
      <c r="M110" s="717">
        <f t="shared" si="43"/>
        <v>1050</v>
      </c>
      <c r="N110" s="717">
        <f t="shared" si="43"/>
        <v>1050</v>
      </c>
      <c r="O110" s="717">
        <f t="shared" si="43"/>
        <v>1050</v>
      </c>
      <c r="P110" s="717">
        <f t="shared" si="43"/>
        <v>1050</v>
      </c>
      <c r="Q110" s="717">
        <f t="shared" si="43"/>
        <v>1050</v>
      </c>
      <c r="R110" s="703"/>
    </row>
    <row r="111" spans="1:18" ht="13.5">
      <c r="A111" s="300" t="s">
        <v>1483</v>
      </c>
      <c r="B111" s="300" t="s">
        <v>1352</v>
      </c>
      <c r="C111" s="300" t="s">
        <v>524</v>
      </c>
      <c r="D111" s="462" t="s">
        <v>1511</v>
      </c>
      <c r="E111" s="741">
        <f t="shared" si="40"/>
        <v>1848</v>
      </c>
      <c r="F111" s="717">
        <f>SUM(F107:F110)*0.08</f>
        <v>154</v>
      </c>
      <c r="G111" s="717">
        <f aca="true" t="shared" si="44" ref="G111:Q111">SUM(G107:G110)*0.08</f>
        <v>154</v>
      </c>
      <c r="H111" s="717">
        <f t="shared" si="44"/>
        <v>154</v>
      </c>
      <c r="I111" s="717">
        <f t="shared" si="44"/>
        <v>154</v>
      </c>
      <c r="J111" s="717">
        <f t="shared" si="44"/>
        <v>154</v>
      </c>
      <c r="K111" s="717">
        <f t="shared" si="44"/>
        <v>154</v>
      </c>
      <c r="L111" s="717">
        <f t="shared" si="44"/>
        <v>154</v>
      </c>
      <c r="M111" s="717">
        <f t="shared" si="44"/>
        <v>154</v>
      </c>
      <c r="N111" s="717">
        <f t="shared" si="44"/>
        <v>154</v>
      </c>
      <c r="O111" s="717">
        <f t="shared" si="44"/>
        <v>154</v>
      </c>
      <c r="P111" s="717">
        <f t="shared" si="44"/>
        <v>154</v>
      </c>
      <c r="Q111" s="717">
        <f t="shared" si="44"/>
        <v>154</v>
      </c>
      <c r="R111" s="703"/>
    </row>
    <row r="112" spans="1:18" ht="13.5">
      <c r="A112" s="300" t="s">
        <v>1483</v>
      </c>
      <c r="B112" s="300" t="s">
        <v>1352</v>
      </c>
      <c r="C112" s="300" t="s">
        <v>524</v>
      </c>
      <c r="D112" s="462" t="s">
        <v>448</v>
      </c>
      <c r="E112" s="741">
        <f t="shared" si="40"/>
        <v>462</v>
      </c>
      <c r="F112" s="717">
        <f>SUM(F107:F110)*0.02</f>
        <v>38.5</v>
      </c>
      <c r="G112" s="717">
        <f aca="true" t="shared" si="45" ref="G112:Q112">SUM(G107:G110)*0.02</f>
        <v>38.5</v>
      </c>
      <c r="H112" s="717">
        <f t="shared" si="45"/>
        <v>38.5</v>
      </c>
      <c r="I112" s="717">
        <f t="shared" si="45"/>
        <v>38.5</v>
      </c>
      <c r="J112" s="717">
        <f t="shared" si="45"/>
        <v>38.5</v>
      </c>
      <c r="K112" s="717">
        <f t="shared" si="45"/>
        <v>38.5</v>
      </c>
      <c r="L112" s="717">
        <f t="shared" si="45"/>
        <v>38.5</v>
      </c>
      <c r="M112" s="717">
        <f t="shared" si="45"/>
        <v>38.5</v>
      </c>
      <c r="N112" s="717">
        <f t="shared" si="45"/>
        <v>38.5</v>
      </c>
      <c r="O112" s="717">
        <f t="shared" si="45"/>
        <v>38.5</v>
      </c>
      <c r="P112" s="717">
        <f t="shared" si="45"/>
        <v>38.5</v>
      </c>
      <c r="Q112" s="717">
        <f t="shared" si="45"/>
        <v>38.5</v>
      </c>
      <c r="R112" s="703"/>
    </row>
    <row r="113" spans="1:18" ht="13.5">
      <c r="A113" s="300" t="s">
        <v>1483</v>
      </c>
      <c r="B113" s="300" t="s">
        <v>1352</v>
      </c>
      <c r="C113" s="300" t="s">
        <v>524</v>
      </c>
      <c r="D113" s="462" t="s">
        <v>1512</v>
      </c>
      <c r="E113" s="741">
        <f t="shared" si="40"/>
        <v>1925</v>
      </c>
      <c r="F113" s="717">
        <v>0</v>
      </c>
      <c r="G113" s="717">
        <v>0</v>
      </c>
      <c r="H113" s="717">
        <f>SUM(H107:H110)/2</f>
        <v>962.5</v>
      </c>
      <c r="I113" s="717">
        <v>0</v>
      </c>
      <c r="J113" s="717">
        <v>0</v>
      </c>
      <c r="K113" s="717">
        <v>0</v>
      </c>
      <c r="L113" s="717">
        <v>0</v>
      </c>
      <c r="M113" s="717">
        <v>0</v>
      </c>
      <c r="N113" s="717">
        <f>SUM(N107:N110)/2</f>
        <v>962.5</v>
      </c>
      <c r="O113" s="717">
        <v>0</v>
      </c>
      <c r="P113" s="717">
        <v>0</v>
      </c>
      <c r="Q113" s="717">
        <v>0</v>
      </c>
      <c r="R113" s="703"/>
    </row>
    <row r="114" spans="1:18" ht="13.5">
      <c r="A114" s="300" t="s">
        <v>1483</v>
      </c>
      <c r="B114" s="300" t="s">
        <v>1352</v>
      </c>
      <c r="C114" s="300" t="s">
        <v>524</v>
      </c>
      <c r="D114" s="462" t="s">
        <v>1513</v>
      </c>
      <c r="E114" s="741">
        <f t="shared" si="40"/>
        <v>1925</v>
      </c>
      <c r="F114" s="717">
        <v>0</v>
      </c>
      <c r="G114" s="717">
        <v>0</v>
      </c>
      <c r="H114" s="717">
        <v>0</v>
      </c>
      <c r="I114" s="717">
        <v>0</v>
      </c>
      <c r="J114" s="717">
        <v>0</v>
      </c>
      <c r="K114" s="717">
        <v>0</v>
      </c>
      <c r="L114" s="717">
        <v>0</v>
      </c>
      <c r="M114" s="717">
        <v>0</v>
      </c>
      <c r="N114" s="717">
        <v>0</v>
      </c>
      <c r="O114" s="717">
        <v>0</v>
      </c>
      <c r="P114" s="717">
        <v>0</v>
      </c>
      <c r="Q114" s="717">
        <f>SUM(Q107:Q110)</f>
        <v>1925</v>
      </c>
      <c r="R114" s="703"/>
    </row>
    <row r="115" spans="1:18" ht="13.5">
      <c r="A115" s="536" t="s">
        <v>1483</v>
      </c>
      <c r="B115" s="476" t="s">
        <v>1352</v>
      </c>
      <c r="C115" s="686" t="s">
        <v>524</v>
      </c>
      <c r="D115" s="735" t="s">
        <v>1537</v>
      </c>
      <c r="E115" s="736">
        <f>SUM(E107:E114)</f>
        <v>29260</v>
      </c>
      <c r="F115" s="751">
        <f aca="true" t="shared" si="46" ref="F115:Q115">SUM(F107:F114)</f>
        <v>2117.5</v>
      </c>
      <c r="G115" s="751">
        <f t="shared" si="46"/>
        <v>2117.5</v>
      </c>
      <c r="H115" s="751">
        <f t="shared" si="46"/>
        <v>3080</v>
      </c>
      <c r="I115" s="751">
        <f t="shared" si="46"/>
        <v>2117.5</v>
      </c>
      <c r="J115" s="751">
        <f t="shared" si="46"/>
        <v>2117.5</v>
      </c>
      <c r="K115" s="751">
        <f t="shared" si="46"/>
        <v>2117.5</v>
      </c>
      <c r="L115" s="751">
        <f t="shared" si="46"/>
        <v>2117.5</v>
      </c>
      <c r="M115" s="751">
        <f t="shared" si="46"/>
        <v>2117.5</v>
      </c>
      <c r="N115" s="751">
        <f t="shared" si="46"/>
        <v>3080</v>
      </c>
      <c r="O115" s="751">
        <f t="shared" si="46"/>
        <v>2117.5</v>
      </c>
      <c r="P115" s="751">
        <f t="shared" si="46"/>
        <v>2117.5</v>
      </c>
      <c r="Q115" s="751">
        <f t="shared" si="46"/>
        <v>4042.5</v>
      </c>
      <c r="R115" s="738"/>
    </row>
    <row r="116" spans="1:18" ht="13.5">
      <c r="A116" s="300"/>
      <c r="B116" s="300"/>
      <c r="C116" s="300"/>
      <c r="D116" s="481"/>
      <c r="E116" s="695"/>
      <c r="F116" s="695"/>
      <c r="G116" s="695"/>
      <c r="H116" s="695"/>
      <c r="I116" s="695"/>
      <c r="J116" s="695"/>
      <c r="K116" s="695"/>
      <c r="L116" s="695"/>
      <c r="M116" s="695"/>
      <c r="N116" s="695"/>
      <c r="O116" s="695"/>
      <c r="P116" s="695"/>
      <c r="Q116" s="695"/>
      <c r="R116" s="484"/>
    </row>
    <row r="117" spans="1:18" ht="13.5">
      <c r="A117" s="300"/>
      <c r="B117" s="300"/>
      <c r="C117" s="300"/>
      <c r="D117" s="481"/>
      <c r="E117" s="695"/>
      <c r="F117" s="695"/>
      <c r="G117" s="695"/>
      <c r="H117" s="695"/>
      <c r="I117" s="695"/>
      <c r="J117" s="695"/>
      <c r="K117" s="695"/>
      <c r="L117" s="695"/>
      <c r="M117" s="695"/>
      <c r="N117" s="695"/>
      <c r="O117" s="695"/>
      <c r="P117" s="695"/>
      <c r="Q117" s="695"/>
      <c r="R117" s="484"/>
    </row>
    <row r="118" spans="1:18" ht="13.5">
      <c r="A118" s="831" t="s">
        <v>1541</v>
      </c>
      <c r="B118" s="832"/>
      <c r="C118" s="832"/>
      <c r="D118" s="833"/>
      <c r="E118" s="685" t="s">
        <v>799</v>
      </c>
      <c r="F118" s="685" t="s">
        <v>1250</v>
      </c>
      <c r="G118" s="685" t="s">
        <v>1251</v>
      </c>
      <c r="H118" s="685" t="s">
        <v>1252</v>
      </c>
      <c r="I118" s="685" t="s">
        <v>1253</v>
      </c>
      <c r="J118" s="685" t="s">
        <v>1254</v>
      </c>
      <c r="K118" s="685" t="s">
        <v>1255</v>
      </c>
      <c r="L118" s="685" t="s">
        <v>1256</v>
      </c>
      <c r="M118" s="685" t="s">
        <v>1257</v>
      </c>
      <c r="N118" s="685" t="s">
        <v>1258</v>
      </c>
      <c r="O118" s="685" t="s">
        <v>1259</v>
      </c>
      <c r="P118" s="685" t="s">
        <v>1260</v>
      </c>
      <c r="Q118" s="685" t="s">
        <v>1261</v>
      </c>
      <c r="R118" s="549"/>
    </row>
    <row r="119" spans="1:18" ht="13.5">
      <c r="A119" s="300" t="s">
        <v>1483</v>
      </c>
      <c r="B119" s="300" t="s">
        <v>536</v>
      </c>
      <c r="C119" s="300" t="s">
        <v>524</v>
      </c>
      <c r="D119" s="452" t="s">
        <v>1531</v>
      </c>
      <c r="E119" s="741">
        <f aca="true" t="shared" si="47" ref="E119:E124">SUM(F119:Q119)</f>
        <v>13800</v>
      </c>
      <c r="F119" s="717">
        <v>1150</v>
      </c>
      <c r="G119" s="717">
        <v>1150</v>
      </c>
      <c r="H119" s="717">
        <v>1150</v>
      </c>
      <c r="I119" s="717">
        <v>1150</v>
      </c>
      <c r="J119" s="717">
        <v>1150</v>
      </c>
      <c r="K119" s="717">
        <v>1150</v>
      </c>
      <c r="L119" s="717">
        <v>1150</v>
      </c>
      <c r="M119" s="717">
        <v>1150</v>
      </c>
      <c r="N119" s="717">
        <v>1150</v>
      </c>
      <c r="O119" s="717">
        <v>1150</v>
      </c>
      <c r="P119" s="717">
        <v>1150</v>
      </c>
      <c r="Q119" s="717">
        <v>1150</v>
      </c>
      <c r="R119" s="703"/>
    </row>
    <row r="120" spans="1:18" ht="13.5">
      <c r="A120" s="300" t="s">
        <v>1483</v>
      </c>
      <c r="B120" s="300" t="s">
        <v>536</v>
      </c>
      <c r="C120" s="300" t="s">
        <v>524</v>
      </c>
      <c r="D120" s="462" t="s">
        <v>1532</v>
      </c>
      <c r="E120" s="741">
        <f t="shared" si="47"/>
        <v>8400</v>
      </c>
      <c r="F120" s="717">
        <v>700</v>
      </c>
      <c r="G120" s="717">
        <v>700</v>
      </c>
      <c r="H120" s="717">
        <v>700</v>
      </c>
      <c r="I120" s="717">
        <v>700</v>
      </c>
      <c r="J120" s="717">
        <v>700</v>
      </c>
      <c r="K120" s="717">
        <v>700</v>
      </c>
      <c r="L120" s="717">
        <v>700</v>
      </c>
      <c r="M120" s="717">
        <v>700</v>
      </c>
      <c r="N120" s="717">
        <v>700</v>
      </c>
      <c r="O120" s="717">
        <v>700</v>
      </c>
      <c r="P120" s="717">
        <v>700</v>
      </c>
      <c r="Q120" s="717">
        <v>700</v>
      </c>
      <c r="R120" s="703"/>
    </row>
    <row r="121" spans="1:18" ht="13.5">
      <c r="A121" s="300" t="s">
        <v>1483</v>
      </c>
      <c r="B121" s="300" t="s">
        <v>536</v>
      </c>
      <c r="C121" s="300" t="s">
        <v>524</v>
      </c>
      <c r="D121" s="462" t="s">
        <v>1511</v>
      </c>
      <c r="E121" s="741">
        <f t="shared" si="47"/>
        <v>1776</v>
      </c>
      <c r="F121" s="717">
        <f>SUM(F119:F120)*0.08</f>
        <v>148</v>
      </c>
      <c r="G121" s="717">
        <f aca="true" t="shared" si="48" ref="G121:Q121">SUM(G119:G120)*0.08</f>
        <v>148</v>
      </c>
      <c r="H121" s="717">
        <f t="shared" si="48"/>
        <v>148</v>
      </c>
      <c r="I121" s="717">
        <f t="shared" si="48"/>
        <v>148</v>
      </c>
      <c r="J121" s="717">
        <f t="shared" si="48"/>
        <v>148</v>
      </c>
      <c r="K121" s="717">
        <f t="shared" si="48"/>
        <v>148</v>
      </c>
      <c r="L121" s="717">
        <f t="shared" si="48"/>
        <v>148</v>
      </c>
      <c r="M121" s="717">
        <f t="shared" si="48"/>
        <v>148</v>
      </c>
      <c r="N121" s="717">
        <f t="shared" si="48"/>
        <v>148</v>
      </c>
      <c r="O121" s="717">
        <f t="shared" si="48"/>
        <v>148</v>
      </c>
      <c r="P121" s="717">
        <f t="shared" si="48"/>
        <v>148</v>
      </c>
      <c r="Q121" s="717">
        <f t="shared" si="48"/>
        <v>148</v>
      </c>
      <c r="R121" s="703"/>
    </row>
    <row r="122" spans="1:18" ht="13.5">
      <c r="A122" s="300" t="s">
        <v>1483</v>
      </c>
      <c r="B122" s="300" t="s">
        <v>536</v>
      </c>
      <c r="C122" s="300" t="s">
        <v>524</v>
      </c>
      <c r="D122" s="462" t="s">
        <v>448</v>
      </c>
      <c r="E122" s="741">
        <f t="shared" si="47"/>
        <v>444</v>
      </c>
      <c r="F122" s="717">
        <f>SUM(F119:F120)*0.02</f>
        <v>37</v>
      </c>
      <c r="G122" s="717">
        <f aca="true" t="shared" si="49" ref="G122:Q122">SUM(G119:G120)*0.02</f>
        <v>37</v>
      </c>
      <c r="H122" s="717">
        <f t="shared" si="49"/>
        <v>37</v>
      </c>
      <c r="I122" s="717">
        <f t="shared" si="49"/>
        <v>37</v>
      </c>
      <c r="J122" s="717">
        <f t="shared" si="49"/>
        <v>37</v>
      </c>
      <c r="K122" s="717">
        <f t="shared" si="49"/>
        <v>37</v>
      </c>
      <c r="L122" s="717">
        <f t="shared" si="49"/>
        <v>37</v>
      </c>
      <c r="M122" s="717">
        <f t="shared" si="49"/>
        <v>37</v>
      </c>
      <c r="N122" s="717">
        <f t="shared" si="49"/>
        <v>37</v>
      </c>
      <c r="O122" s="717">
        <f t="shared" si="49"/>
        <v>37</v>
      </c>
      <c r="P122" s="717">
        <f t="shared" si="49"/>
        <v>37</v>
      </c>
      <c r="Q122" s="717">
        <f t="shared" si="49"/>
        <v>37</v>
      </c>
      <c r="R122" s="703"/>
    </row>
    <row r="123" spans="1:18" ht="13.5">
      <c r="A123" s="300" t="s">
        <v>1483</v>
      </c>
      <c r="B123" s="300" t="s">
        <v>536</v>
      </c>
      <c r="C123" s="300" t="s">
        <v>524</v>
      </c>
      <c r="D123" s="462" t="s">
        <v>1512</v>
      </c>
      <c r="E123" s="741">
        <f t="shared" si="47"/>
        <v>1850</v>
      </c>
      <c r="F123" s="717">
        <v>0</v>
      </c>
      <c r="G123" s="717">
        <v>0</v>
      </c>
      <c r="H123" s="717">
        <f>SUM(H119:H120)/2</f>
        <v>925</v>
      </c>
      <c r="I123" s="717">
        <v>0</v>
      </c>
      <c r="J123" s="717">
        <v>0</v>
      </c>
      <c r="K123" s="717">
        <v>0</v>
      </c>
      <c r="L123" s="717">
        <v>0</v>
      </c>
      <c r="M123" s="717">
        <v>0</v>
      </c>
      <c r="N123" s="717">
        <f>SUM(N119:N120)/2</f>
        <v>925</v>
      </c>
      <c r="O123" s="717">
        <v>0</v>
      </c>
      <c r="P123" s="717">
        <v>0</v>
      </c>
      <c r="Q123" s="717">
        <v>0</v>
      </c>
      <c r="R123" s="703"/>
    </row>
    <row r="124" spans="1:18" ht="13.5">
      <c r="A124" s="300" t="s">
        <v>1483</v>
      </c>
      <c r="B124" s="300" t="s">
        <v>536</v>
      </c>
      <c r="C124" s="300" t="s">
        <v>524</v>
      </c>
      <c r="D124" s="462" t="s">
        <v>1513</v>
      </c>
      <c r="E124" s="741">
        <f t="shared" si="47"/>
        <v>1850</v>
      </c>
      <c r="F124" s="717">
        <v>0</v>
      </c>
      <c r="G124" s="717">
        <v>0</v>
      </c>
      <c r="H124" s="717">
        <v>0</v>
      </c>
      <c r="I124" s="717">
        <v>0</v>
      </c>
      <c r="J124" s="717">
        <v>0</v>
      </c>
      <c r="K124" s="717">
        <v>0</v>
      </c>
      <c r="L124" s="717">
        <v>0</v>
      </c>
      <c r="M124" s="717">
        <v>0</v>
      </c>
      <c r="N124" s="717">
        <v>0</v>
      </c>
      <c r="O124" s="717">
        <v>0</v>
      </c>
      <c r="P124" s="717">
        <v>0</v>
      </c>
      <c r="Q124" s="717">
        <f>SUM(Q119:Q120)</f>
        <v>1850</v>
      </c>
      <c r="R124" s="703"/>
    </row>
    <row r="125" spans="1:18" ht="13.5">
      <c r="A125" s="536" t="s">
        <v>1483</v>
      </c>
      <c r="B125" s="476" t="s">
        <v>536</v>
      </c>
      <c r="C125" s="686" t="s">
        <v>524</v>
      </c>
      <c r="D125" s="735" t="s">
        <v>1541</v>
      </c>
      <c r="E125" s="736">
        <f>SUM(E119:E124)</f>
        <v>28120</v>
      </c>
      <c r="F125" s="751">
        <f aca="true" t="shared" si="50" ref="F125:Q125">SUM(F119:F124)</f>
        <v>2035</v>
      </c>
      <c r="G125" s="751">
        <f t="shared" si="50"/>
        <v>2035</v>
      </c>
      <c r="H125" s="751">
        <f t="shared" si="50"/>
        <v>2960</v>
      </c>
      <c r="I125" s="751">
        <f t="shared" si="50"/>
        <v>2035</v>
      </c>
      <c r="J125" s="751">
        <f t="shared" si="50"/>
        <v>2035</v>
      </c>
      <c r="K125" s="751">
        <f t="shared" si="50"/>
        <v>2035</v>
      </c>
      <c r="L125" s="751">
        <f t="shared" si="50"/>
        <v>2035</v>
      </c>
      <c r="M125" s="751">
        <f t="shared" si="50"/>
        <v>2035</v>
      </c>
      <c r="N125" s="751">
        <f t="shared" si="50"/>
        <v>2960</v>
      </c>
      <c r="O125" s="751">
        <f t="shared" si="50"/>
        <v>2035</v>
      </c>
      <c r="P125" s="751">
        <f t="shared" si="50"/>
        <v>2035</v>
      </c>
      <c r="Q125" s="751">
        <f t="shared" si="50"/>
        <v>3885</v>
      </c>
      <c r="R125" s="738"/>
    </row>
    <row r="126" spans="1:18" ht="13.5">
      <c r="A126" s="300"/>
      <c r="B126" s="300"/>
      <c r="C126" s="300"/>
      <c r="D126" s="481"/>
      <c r="E126" s="695"/>
      <c r="F126" s="695"/>
      <c r="G126" s="695"/>
      <c r="H126" s="695"/>
      <c r="I126" s="695"/>
      <c r="J126" s="695"/>
      <c r="K126" s="695"/>
      <c r="L126" s="695"/>
      <c r="M126" s="695"/>
      <c r="N126" s="695"/>
      <c r="O126" s="695"/>
      <c r="P126" s="695"/>
      <c r="Q126" s="695"/>
      <c r="R126" s="484"/>
    </row>
    <row r="127" spans="1:18" ht="13.5">
      <c r="A127" s="300"/>
      <c r="B127" s="300"/>
      <c r="C127" s="300"/>
      <c r="D127" s="481"/>
      <c r="E127" s="695"/>
      <c r="F127" s="695"/>
      <c r="G127" s="695"/>
      <c r="H127" s="695"/>
      <c r="I127" s="695"/>
      <c r="J127" s="695"/>
      <c r="K127" s="695"/>
      <c r="L127" s="695"/>
      <c r="M127" s="695"/>
      <c r="N127" s="695"/>
      <c r="O127" s="695"/>
      <c r="P127" s="695"/>
      <c r="Q127" s="695"/>
      <c r="R127" s="484"/>
    </row>
    <row r="128" spans="1:18" ht="13.5">
      <c r="A128" s="831" t="s">
        <v>1542</v>
      </c>
      <c r="B128" s="832"/>
      <c r="C128" s="832"/>
      <c r="D128" s="833"/>
      <c r="E128" s="685" t="s">
        <v>799</v>
      </c>
      <c r="F128" s="685" t="s">
        <v>1250</v>
      </c>
      <c r="G128" s="685" t="s">
        <v>1251</v>
      </c>
      <c r="H128" s="685" t="s">
        <v>1252</v>
      </c>
      <c r="I128" s="685" t="s">
        <v>1253</v>
      </c>
      <c r="J128" s="685" t="s">
        <v>1254</v>
      </c>
      <c r="K128" s="685" t="s">
        <v>1255</v>
      </c>
      <c r="L128" s="685" t="s">
        <v>1256</v>
      </c>
      <c r="M128" s="685" t="s">
        <v>1257</v>
      </c>
      <c r="N128" s="685" t="s">
        <v>1258</v>
      </c>
      <c r="O128" s="685" t="s">
        <v>1259</v>
      </c>
      <c r="P128" s="685" t="s">
        <v>1260</v>
      </c>
      <c r="Q128" s="685" t="s">
        <v>1261</v>
      </c>
      <c r="R128" s="549"/>
    </row>
    <row r="129" spans="1:18" ht="13.5">
      <c r="A129" s="300" t="s">
        <v>1483</v>
      </c>
      <c r="B129" s="300" t="s">
        <v>1467</v>
      </c>
      <c r="C129" s="300" t="s">
        <v>526</v>
      </c>
      <c r="D129" s="462" t="s">
        <v>1534</v>
      </c>
      <c r="E129" s="741">
        <f aca="true" t="shared" si="51" ref="E129:E136">SUM(F129:Q129)</f>
        <v>18000</v>
      </c>
      <c r="F129" s="717">
        <v>1500</v>
      </c>
      <c r="G129" s="717">
        <v>1500</v>
      </c>
      <c r="H129" s="717">
        <v>1500</v>
      </c>
      <c r="I129" s="717">
        <v>1500</v>
      </c>
      <c r="J129" s="717">
        <v>1500</v>
      </c>
      <c r="K129" s="717">
        <v>1500</v>
      </c>
      <c r="L129" s="717">
        <v>1500</v>
      </c>
      <c r="M129" s="717">
        <v>1500</v>
      </c>
      <c r="N129" s="717">
        <v>1500</v>
      </c>
      <c r="O129" s="717">
        <v>1500</v>
      </c>
      <c r="P129" s="717">
        <v>1500</v>
      </c>
      <c r="Q129" s="717">
        <v>1500</v>
      </c>
      <c r="R129" s="756"/>
    </row>
    <row r="130" spans="1:18" ht="13.5">
      <c r="A130" s="300" t="s">
        <v>1483</v>
      </c>
      <c r="B130" s="300" t="s">
        <v>1467</v>
      </c>
      <c r="C130" s="300" t="s">
        <v>526</v>
      </c>
      <c r="D130" s="452" t="s">
        <v>1543</v>
      </c>
      <c r="E130" s="741">
        <f t="shared" si="51"/>
        <v>0</v>
      </c>
      <c r="F130" s="717">
        <v>0</v>
      </c>
      <c r="G130" s="717">
        <v>0</v>
      </c>
      <c r="H130" s="717">
        <v>0</v>
      </c>
      <c r="I130" s="717">
        <v>0</v>
      </c>
      <c r="J130" s="717">
        <v>0</v>
      </c>
      <c r="K130" s="717">
        <v>0</v>
      </c>
      <c r="L130" s="717">
        <v>0</v>
      </c>
      <c r="M130" s="717">
        <v>0</v>
      </c>
      <c r="N130" s="717">
        <v>0</v>
      </c>
      <c r="O130" s="717">
        <v>0</v>
      </c>
      <c r="P130" s="717">
        <v>0</v>
      </c>
      <c r="Q130" s="717">
        <v>0</v>
      </c>
      <c r="R130" s="757"/>
    </row>
    <row r="131" spans="1:18" ht="13.5">
      <c r="A131" s="300" t="s">
        <v>1483</v>
      </c>
      <c r="B131" s="300" t="s">
        <v>1467</v>
      </c>
      <c r="C131" s="300" t="s">
        <v>526</v>
      </c>
      <c r="D131" s="462" t="s">
        <v>1524</v>
      </c>
      <c r="E131" s="741">
        <f t="shared" si="51"/>
        <v>10200</v>
      </c>
      <c r="F131" s="717">
        <v>850</v>
      </c>
      <c r="G131" s="717">
        <v>850</v>
      </c>
      <c r="H131" s="717">
        <v>850</v>
      </c>
      <c r="I131" s="717">
        <v>850</v>
      </c>
      <c r="J131" s="717">
        <v>850</v>
      </c>
      <c r="K131" s="717">
        <v>850</v>
      </c>
      <c r="L131" s="717">
        <v>850</v>
      </c>
      <c r="M131" s="717">
        <v>850</v>
      </c>
      <c r="N131" s="717">
        <v>850</v>
      </c>
      <c r="O131" s="717">
        <v>850</v>
      </c>
      <c r="P131" s="717">
        <v>850</v>
      </c>
      <c r="Q131" s="717">
        <v>850</v>
      </c>
      <c r="R131" s="756"/>
    </row>
    <row r="132" spans="1:18" ht="13.5">
      <c r="A132" s="300" t="s">
        <v>1483</v>
      </c>
      <c r="B132" s="300" t="s">
        <v>1467</v>
      </c>
      <c r="C132" s="300" t="s">
        <v>526</v>
      </c>
      <c r="D132" s="462" t="s">
        <v>1525</v>
      </c>
      <c r="E132" s="741">
        <f t="shared" si="51"/>
        <v>8400</v>
      </c>
      <c r="F132" s="717">
        <v>700</v>
      </c>
      <c r="G132" s="717">
        <v>700</v>
      </c>
      <c r="H132" s="717">
        <v>700</v>
      </c>
      <c r="I132" s="717">
        <v>700</v>
      </c>
      <c r="J132" s="717">
        <v>700</v>
      </c>
      <c r="K132" s="717">
        <v>700</v>
      </c>
      <c r="L132" s="717">
        <v>700</v>
      </c>
      <c r="M132" s="717">
        <v>700</v>
      </c>
      <c r="N132" s="717">
        <v>700</v>
      </c>
      <c r="O132" s="717">
        <v>700</v>
      </c>
      <c r="P132" s="717">
        <v>700</v>
      </c>
      <c r="Q132" s="717">
        <v>700</v>
      </c>
      <c r="R132" s="756"/>
    </row>
    <row r="133" spans="1:18" ht="13.5">
      <c r="A133" s="300" t="s">
        <v>1483</v>
      </c>
      <c r="B133" s="300" t="s">
        <v>1467</v>
      </c>
      <c r="C133" s="300" t="s">
        <v>526</v>
      </c>
      <c r="D133" s="462" t="s">
        <v>1511</v>
      </c>
      <c r="E133" s="741">
        <f t="shared" si="51"/>
        <v>2928</v>
      </c>
      <c r="F133" s="717">
        <f>SUM(F129:F132)*0.08</f>
        <v>244</v>
      </c>
      <c r="G133" s="717">
        <f aca="true" t="shared" si="52" ref="G133:Q133">SUM(G129:G132)*0.08</f>
        <v>244</v>
      </c>
      <c r="H133" s="717">
        <f t="shared" si="52"/>
        <v>244</v>
      </c>
      <c r="I133" s="717">
        <f t="shared" si="52"/>
        <v>244</v>
      </c>
      <c r="J133" s="717">
        <f t="shared" si="52"/>
        <v>244</v>
      </c>
      <c r="K133" s="717">
        <f t="shared" si="52"/>
        <v>244</v>
      </c>
      <c r="L133" s="717">
        <f t="shared" si="52"/>
        <v>244</v>
      </c>
      <c r="M133" s="717">
        <f t="shared" si="52"/>
        <v>244</v>
      </c>
      <c r="N133" s="717">
        <f t="shared" si="52"/>
        <v>244</v>
      </c>
      <c r="O133" s="717">
        <f t="shared" si="52"/>
        <v>244</v>
      </c>
      <c r="P133" s="717">
        <f t="shared" si="52"/>
        <v>244</v>
      </c>
      <c r="Q133" s="717">
        <f t="shared" si="52"/>
        <v>244</v>
      </c>
      <c r="R133" s="756"/>
    </row>
    <row r="134" spans="1:18" ht="13.5">
      <c r="A134" s="300" t="s">
        <v>1483</v>
      </c>
      <c r="B134" s="300" t="s">
        <v>1467</v>
      </c>
      <c r="C134" s="300" t="s">
        <v>526</v>
      </c>
      <c r="D134" s="462" t="s">
        <v>448</v>
      </c>
      <c r="E134" s="741">
        <f t="shared" si="51"/>
        <v>732</v>
      </c>
      <c r="F134" s="717">
        <f>SUM(F129:F132)*0.02</f>
        <v>61</v>
      </c>
      <c r="G134" s="717">
        <f aca="true" t="shared" si="53" ref="G134:Q134">SUM(G129:G132)*0.02</f>
        <v>61</v>
      </c>
      <c r="H134" s="717">
        <f t="shared" si="53"/>
        <v>61</v>
      </c>
      <c r="I134" s="717">
        <f t="shared" si="53"/>
        <v>61</v>
      </c>
      <c r="J134" s="717">
        <f t="shared" si="53"/>
        <v>61</v>
      </c>
      <c r="K134" s="717">
        <f t="shared" si="53"/>
        <v>61</v>
      </c>
      <c r="L134" s="717">
        <f t="shared" si="53"/>
        <v>61</v>
      </c>
      <c r="M134" s="717">
        <f t="shared" si="53"/>
        <v>61</v>
      </c>
      <c r="N134" s="717">
        <f t="shared" si="53"/>
        <v>61</v>
      </c>
      <c r="O134" s="717">
        <f t="shared" si="53"/>
        <v>61</v>
      </c>
      <c r="P134" s="717">
        <f t="shared" si="53"/>
        <v>61</v>
      </c>
      <c r="Q134" s="717">
        <f t="shared" si="53"/>
        <v>61</v>
      </c>
      <c r="R134" s="756"/>
    </row>
    <row r="135" spans="1:18" ht="13.5">
      <c r="A135" s="300" t="s">
        <v>1483</v>
      </c>
      <c r="B135" s="300" t="s">
        <v>1467</v>
      </c>
      <c r="C135" s="300" t="s">
        <v>526</v>
      </c>
      <c r="D135" s="462" t="s">
        <v>1512</v>
      </c>
      <c r="E135" s="741">
        <f t="shared" si="51"/>
        <v>3050</v>
      </c>
      <c r="F135" s="717">
        <v>0</v>
      </c>
      <c r="G135" s="717">
        <v>0</v>
      </c>
      <c r="H135" s="717">
        <f>SUM(H129:H132)/2</f>
        <v>1525</v>
      </c>
      <c r="I135" s="717">
        <v>0</v>
      </c>
      <c r="J135" s="717">
        <v>0</v>
      </c>
      <c r="K135" s="717">
        <v>0</v>
      </c>
      <c r="L135" s="717">
        <v>0</v>
      </c>
      <c r="M135" s="717">
        <v>0</v>
      </c>
      <c r="N135" s="717">
        <f>SUM(N129:N132)/2</f>
        <v>1525</v>
      </c>
      <c r="O135" s="717">
        <v>0</v>
      </c>
      <c r="P135" s="717">
        <v>0</v>
      </c>
      <c r="Q135" s="717">
        <v>0</v>
      </c>
      <c r="R135" s="756"/>
    </row>
    <row r="136" spans="1:18" ht="13.5">
      <c r="A136" s="300" t="s">
        <v>1483</v>
      </c>
      <c r="B136" s="300" t="s">
        <v>1467</v>
      </c>
      <c r="C136" s="300" t="s">
        <v>526</v>
      </c>
      <c r="D136" s="462" t="s">
        <v>1513</v>
      </c>
      <c r="E136" s="741">
        <f t="shared" si="51"/>
        <v>3050</v>
      </c>
      <c r="F136" s="717">
        <v>0</v>
      </c>
      <c r="G136" s="717">
        <v>0</v>
      </c>
      <c r="H136" s="717">
        <v>0</v>
      </c>
      <c r="I136" s="717">
        <v>0</v>
      </c>
      <c r="J136" s="717">
        <v>0</v>
      </c>
      <c r="K136" s="717">
        <v>0</v>
      </c>
      <c r="L136" s="717">
        <v>0</v>
      </c>
      <c r="M136" s="717">
        <v>0</v>
      </c>
      <c r="N136" s="717">
        <v>0</v>
      </c>
      <c r="O136" s="717">
        <v>0</v>
      </c>
      <c r="P136" s="717">
        <v>0</v>
      </c>
      <c r="Q136" s="717">
        <f>SUM(Q129:Q132)</f>
        <v>3050</v>
      </c>
      <c r="R136" s="756"/>
    </row>
    <row r="137" spans="1:18" ht="13.5">
      <c r="A137" s="536" t="s">
        <v>1483</v>
      </c>
      <c r="B137" s="476" t="s">
        <v>1467</v>
      </c>
      <c r="C137" s="686" t="s">
        <v>526</v>
      </c>
      <c r="D137" s="735" t="s">
        <v>1542</v>
      </c>
      <c r="E137" s="736">
        <f>SUM(E129:E136)</f>
        <v>46360</v>
      </c>
      <c r="F137" s="751">
        <f aca="true" t="shared" si="54" ref="F137:Q137">SUM(F129:F136)</f>
        <v>3355</v>
      </c>
      <c r="G137" s="751">
        <f t="shared" si="54"/>
        <v>3355</v>
      </c>
      <c r="H137" s="751">
        <f t="shared" si="54"/>
        <v>4880</v>
      </c>
      <c r="I137" s="751">
        <f t="shared" si="54"/>
        <v>3355</v>
      </c>
      <c r="J137" s="751">
        <f t="shared" si="54"/>
        <v>3355</v>
      </c>
      <c r="K137" s="751">
        <f t="shared" si="54"/>
        <v>3355</v>
      </c>
      <c r="L137" s="751">
        <f t="shared" si="54"/>
        <v>3355</v>
      </c>
      <c r="M137" s="751">
        <f t="shared" si="54"/>
        <v>3355</v>
      </c>
      <c r="N137" s="751">
        <f t="shared" si="54"/>
        <v>4880</v>
      </c>
      <c r="O137" s="751">
        <f t="shared" si="54"/>
        <v>3355</v>
      </c>
      <c r="P137" s="751">
        <f t="shared" si="54"/>
        <v>3355</v>
      </c>
      <c r="Q137" s="751">
        <f t="shared" si="54"/>
        <v>6405</v>
      </c>
      <c r="R137" s="738"/>
    </row>
    <row r="138" spans="1:18" ht="13.5">
      <c r="A138" s="300"/>
      <c r="B138" s="300"/>
      <c r="C138" s="300"/>
      <c r="D138" s="481"/>
      <c r="E138" s="695"/>
      <c r="F138" s="695"/>
      <c r="G138" s="695"/>
      <c r="H138" s="695"/>
      <c r="I138" s="695"/>
      <c r="J138" s="695"/>
      <c r="K138" s="695"/>
      <c r="L138" s="695"/>
      <c r="M138" s="695"/>
      <c r="N138" s="695"/>
      <c r="O138" s="695"/>
      <c r="P138" s="695"/>
      <c r="Q138" s="695"/>
      <c r="R138" s="569"/>
    </row>
    <row r="139" spans="1:18" ht="13.5">
      <c r="A139" s="300"/>
      <c r="B139" s="300"/>
      <c r="C139" s="300"/>
      <c r="D139" s="481"/>
      <c r="E139" s="695"/>
      <c r="F139" s="695"/>
      <c r="G139" s="695"/>
      <c r="H139" s="695"/>
      <c r="I139" s="695"/>
      <c r="J139" s="695"/>
      <c r="K139" s="695"/>
      <c r="L139" s="695"/>
      <c r="M139" s="695"/>
      <c r="N139" s="695"/>
      <c r="O139" s="695"/>
      <c r="P139" s="695"/>
      <c r="Q139" s="695"/>
      <c r="R139" s="569"/>
    </row>
    <row r="140" spans="1:18" ht="13.5">
      <c r="A140" s="831" t="s">
        <v>1544</v>
      </c>
      <c r="B140" s="832"/>
      <c r="C140" s="832"/>
      <c r="D140" s="833"/>
      <c r="E140" s="685" t="s">
        <v>799</v>
      </c>
      <c r="F140" s="685" t="s">
        <v>1250</v>
      </c>
      <c r="G140" s="685" t="s">
        <v>1251</v>
      </c>
      <c r="H140" s="685" t="s">
        <v>1252</v>
      </c>
      <c r="I140" s="685" t="s">
        <v>1253</v>
      </c>
      <c r="J140" s="685" t="s">
        <v>1254</v>
      </c>
      <c r="K140" s="685" t="s">
        <v>1255</v>
      </c>
      <c r="L140" s="685" t="s">
        <v>1256</v>
      </c>
      <c r="M140" s="685" t="s">
        <v>1257</v>
      </c>
      <c r="N140" s="685" t="s">
        <v>1258</v>
      </c>
      <c r="O140" s="685" t="s">
        <v>1259</v>
      </c>
      <c r="P140" s="685" t="s">
        <v>1260</v>
      </c>
      <c r="Q140" s="685" t="s">
        <v>1261</v>
      </c>
      <c r="R140" s="549"/>
    </row>
    <row r="141" spans="1:18" ht="13.5">
      <c r="A141" s="300" t="s">
        <v>1483</v>
      </c>
      <c r="B141" s="300" t="s">
        <v>1352</v>
      </c>
      <c r="C141" s="300" t="s">
        <v>526</v>
      </c>
      <c r="D141" s="597" t="s">
        <v>1538</v>
      </c>
      <c r="E141" s="741">
        <f aca="true" t="shared" si="55" ref="E141:E148">SUM(F141:Q141)</f>
        <v>6300</v>
      </c>
      <c r="F141" s="717">
        <f>2100*0.25</f>
        <v>525</v>
      </c>
      <c r="G141" s="717">
        <f aca="true" t="shared" si="56" ref="G141:Q141">2100*0.25</f>
        <v>525</v>
      </c>
      <c r="H141" s="717">
        <f t="shared" si="56"/>
        <v>525</v>
      </c>
      <c r="I141" s="717">
        <f t="shared" si="56"/>
        <v>525</v>
      </c>
      <c r="J141" s="717">
        <f t="shared" si="56"/>
        <v>525</v>
      </c>
      <c r="K141" s="717">
        <f t="shared" si="56"/>
        <v>525</v>
      </c>
      <c r="L141" s="717">
        <f t="shared" si="56"/>
        <v>525</v>
      </c>
      <c r="M141" s="717">
        <f t="shared" si="56"/>
        <v>525</v>
      </c>
      <c r="N141" s="717">
        <f t="shared" si="56"/>
        <v>525</v>
      </c>
      <c r="O141" s="717">
        <f t="shared" si="56"/>
        <v>525</v>
      </c>
      <c r="P141" s="717">
        <f t="shared" si="56"/>
        <v>525</v>
      </c>
      <c r="Q141" s="717">
        <f t="shared" si="56"/>
        <v>525</v>
      </c>
      <c r="R141" s="599"/>
    </row>
    <row r="142" spans="1:18" ht="13.5">
      <c r="A142" s="300" t="s">
        <v>1483</v>
      </c>
      <c r="B142" s="300" t="s">
        <v>1352</v>
      </c>
      <c r="C142" s="300" t="s">
        <v>526</v>
      </c>
      <c r="D142" s="597" t="s">
        <v>1539</v>
      </c>
      <c r="E142" s="741">
        <f t="shared" si="55"/>
        <v>2250</v>
      </c>
      <c r="F142" s="717">
        <f>750*0.25</f>
        <v>187.5</v>
      </c>
      <c r="G142" s="717">
        <f aca="true" t="shared" si="57" ref="G142:Q142">750*0.25</f>
        <v>187.5</v>
      </c>
      <c r="H142" s="717">
        <f t="shared" si="57"/>
        <v>187.5</v>
      </c>
      <c r="I142" s="717">
        <f t="shared" si="57"/>
        <v>187.5</v>
      </c>
      <c r="J142" s="717">
        <f t="shared" si="57"/>
        <v>187.5</v>
      </c>
      <c r="K142" s="717">
        <f t="shared" si="57"/>
        <v>187.5</v>
      </c>
      <c r="L142" s="717">
        <f t="shared" si="57"/>
        <v>187.5</v>
      </c>
      <c r="M142" s="717">
        <f t="shared" si="57"/>
        <v>187.5</v>
      </c>
      <c r="N142" s="717">
        <f t="shared" si="57"/>
        <v>187.5</v>
      </c>
      <c r="O142" s="717">
        <f t="shared" si="57"/>
        <v>187.5</v>
      </c>
      <c r="P142" s="717">
        <f t="shared" si="57"/>
        <v>187.5</v>
      </c>
      <c r="Q142" s="717">
        <f t="shared" si="57"/>
        <v>187.5</v>
      </c>
      <c r="R142" s="599"/>
    </row>
    <row r="143" spans="1:18" ht="13.5">
      <c r="A143" s="300" t="s">
        <v>1483</v>
      </c>
      <c r="B143" s="300" t="s">
        <v>1352</v>
      </c>
      <c r="C143" s="300" t="s">
        <v>526</v>
      </c>
      <c r="D143" s="452" t="s">
        <v>1540</v>
      </c>
      <c r="E143" s="741">
        <f t="shared" si="55"/>
        <v>0</v>
      </c>
      <c r="F143" s="717">
        <v>0</v>
      </c>
      <c r="G143" s="717">
        <v>0</v>
      </c>
      <c r="H143" s="717">
        <v>0</v>
      </c>
      <c r="I143" s="717">
        <v>0</v>
      </c>
      <c r="J143" s="717">
        <v>0</v>
      </c>
      <c r="K143" s="717">
        <v>0</v>
      </c>
      <c r="L143" s="717">
        <v>0</v>
      </c>
      <c r="M143" s="717">
        <v>0</v>
      </c>
      <c r="N143" s="717">
        <v>0</v>
      </c>
      <c r="O143" s="717">
        <v>0</v>
      </c>
      <c r="P143" s="717">
        <v>0</v>
      </c>
      <c r="Q143" s="717">
        <v>0</v>
      </c>
      <c r="R143" s="757"/>
    </row>
    <row r="144" spans="1:18" ht="13.5">
      <c r="A144" s="300" t="s">
        <v>1483</v>
      </c>
      <c r="B144" s="300" t="s">
        <v>1352</v>
      </c>
      <c r="C144" s="300" t="s">
        <v>526</v>
      </c>
      <c r="D144" s="452" t="s">
        <v>1529</v>
      </c>
      <c r="E144" s="741">
        <f t="shared" si="55"/>
        <v>12600</v>
      </c>
      <c r="F144" s="717">
        <f>350*3</f>
        <v>1050</v>
      </c>
      <c r="G144" s="717">
        <f aca="true" t="shared" si="58" ref="G144:Q144">350*3</f>
        <v>1050</v>
      </c>
      <c r="H144" s="717">
        <f t="shared" si="58"/>
        <v>1050</v>
      </c>
      <c r="I144" s="717">
        <f t="shared" si="58"/>
        <v>1050</v>
      </c>
      <c r="J144" s="717">
        <f t="shared" si="58"/>
        <v>1050</v>
      </c>
      <c r="K144" s="717">
        <f t="shared" si="58"/>
        <v>1050</v>
      </c>
      <c r="L144" s="717">
        <f t="shared" si="58"/>
        <v>1050</v>
      </c>
      <c r="M144" s="717">
        <f t="shared" si="58"/>
        <v>1050</v>
      </c>
      <c r="N144" s="717">
        <f t="shared" si="58"/>
        <v>1050</v>
      </c>
      <c r="O144" s="717">
        <f t="shared" si="58"/>
        <v>1050</v>
      </c>
      <c r="P144" s="717">
        <f t="shared" si="58"/>
        <v>1050</v>
      </c>
      <c r="Q144" s="717">
        <f t="shared" si="58"/>
        <v>1050</v>
      </c>
      <c r="R144" s="756"/>
    </row>
    <row r="145" spans="1:18" ht="13.5">
      <c r="A145" s="300" t="s">
        <v>1483</v>
      </c>
      <c r="B145" s="300" t="s">
        <v>1352</v>
      </c>
      <c r="C145" s="300" t="s">
        <v>526</v>
      </c>
      <c r="D145" s="462" t="s">
        <v>1511</v>
      </c>
      <c r="E145" s="741">
        <f t="shared" si="55"/>
        <v>1692</v>
      </c>
      <c r="F145" s="717">
        <f aca="true" t="shared" si="59" ref="F145:Q145">SUM(F141:F144)*0.08</f>
        <v>141</v>
      </c>
      <c r="G145" s="717">
        <f t="shared" si="59"/>
        <v>141</v>
      </c>
      <c r="H145" s="717">
        <f t="shared" si="59"/>
        <v>141</v>
      </c>
      <c r="I145" s="717">
        <f t="shared" si="59"/>
        <v>141</v>
      </c>
      <c r="J145" s="717">
        <f t="shared" si="59"/>
        <v>141</v>
      </c>
      <c r="K145" s="717">
        <f t="shared" si="59"/>
        <v>141</v>
      </c>
      <c r="L145" s="717">
        <f t="shared" si="59"/>
        <v>141</v>
      </c>
      <c r="M145" s="717">
        <f t="shared" si="59"/>
        <v>141</v>
      </c>
      <c r="N145" s="717">
        <f t="shared" si="59"/>
        <v>141</v>
      </c>
      <c r="O145" s="717">
        <f t="shared" si="59"/>
        <v>141</v>
      </c>
      <c r="P145" s="717">
        <f t="shared" si="59"/>
        <v>141</v>
      </c>
      <c r="Q145" s="717">
        <f t="shared" si="59"/>
        <v>141</v>
      </c>
      <c r="R145" s="756"/>
    </row>
    <row r="146" spans="1:18" ht="13.5">
      <c r="A146" s="300" t="s">
        <v>1483</v>
      </c>
      <c r="B146" s="300" t="s">
        <v>1352</v>
      </c>
      <c r="C146" s="300" t="s">
        <v>526</v>
      </c>
      <c r="D146" s="462" t="s">
        <v>448</v>
      </c>
      <c r="E146" s="741">
        <f t="shared" si="55"/>
        <v>423</v>
      </c>
      <c r="F146" s="717">
        <f aca="true" t="shared" si="60" ref="F146:Q146">SUM(F141:F144)*0.02</f>
        <v>35.25</v>
      </c>
      <c r="G146" s="717">
        <f t="shared" si="60"/>
        <v>35.25</v>
      </c>
      <c r="H146" s="717">
        <f t="shared" si="60"/>
        <v>35.25</v>
      </c>
      <c r="I146" s="717">
        <f t="shared" si="60"/>
        <v>35.25</v>
      </c>
      <c r="J146" s="717">
        <f t="shared" si="60"/>
        <v>35.25</v>
      </c>
      <c r="K146" s="717">
        <f t="shared" si="60"/>
        <v>35.25</v>
      </c>
      <c r="L146" s="717">
        <f t="shared" si="60"/>
        <v>35.25</v>
      </c>
      <c r="M146" s="717">
        <f t="shared" si="60"/>
        <v>35.25</v>
      </c>
      <c r="N146" s="717">
        <f t="shared" si="60"/>
        <v>35.25</v>
      </c>
      <c r="O146" s="717">
        <f t="shared" si="60"/>
        <v>35.25</v>
      </c>
      <c r="P146" s="717">
        <f t="shared" si="60"/>
        <v>35.25</v>
      </c>
      <c r="Q146" s="717">
        <f t="shared" si="60"/>
        <v>35.25</v>
      </c>
      <c r="R146" s="756"/>
    </row>
    <row r="147" spans="1:18" ht="13.5">
      <c r="A147" s="300" t="s">
        <v>1483</v>
      </c>
      <c r="B147" s="300" t="s">
        <v>1352</v>
      </c>
      <c r="C147" s="300" t="s">
        <v>526</v>
      </c>
      <c r="D147" s="462" t="s">
        <v>1512</v>
      </c>
      <c r="E147" s="741">
        <f t="shared" si="55"/>
        <v>1762.5</v>
      </c>
      <c r="F147" s="717">
        <v>0</v>
      </c>
      <c r="G147" s="717">
        <v>0</v>
      </c>
      <c r="H147" s="717">
        <f>SUM(H141:H144)/2</f>
        <v>881.25</v>
      </c>
      <c r="I147" s="717">
        <v>0</v>
      </c>
      <c r="J147" s="717">
        <v>0</v>
      </c>
      <c r="K147" s="717">
        <v>0</v>
      </c>
      <c r="L147" s="717">
        <v>0</v>
      </c>
      <c r="M147" s="717">
        <v>0</v>
      </c>
      <c r="N147" s="717">
        <f>SUM(N141:N144)/2</f>
        <v>881.25</v>
      </c>
      <c r="O147" s="717">
        <v>0</v>
      </c>
      <c r="P147" s="717">
        <v>0</v>
      </c>
      <c r="Q147" s="717">
        <v>0</v>
      </c>
      <c r="R147" s="756"/>
    </row>
    <row r="148" spans="1:18" ht="13.5">
      <c r="A148" s="300" t="s">
        <v>1483</v>
      </c>
      <c r="B148" s="300" t="s">
        <v>1352</v>
      </c>
      <c r="C148" s="300" t="s">
        <v>526</v>
      </c>
      <c r="D148" s="462" t="s">
        <v>1513</v>
      </c>
      <c r="E148" s="741">
        <f t="shared" si="55"/>
        <v>1762.5</v>
      </c>
      <c r="F148" s="717">
        <v>0</v>
      </c>
      <c r="G148" s="717">
        <v>0</v>
      </c>
      <c r="H148" s="717">
        <v>0</v>
      </c>
      <c r="I148" s="717">
        <v>0</v>
      </c>
      <c r="J148" s="717">
        <v>0</v>
      </c>
      <c r="K148" s="717">
        <v>0</v>
      </c>
      <c r="L148" s="717">
        <v>0</v>
      </c>
      <c r="M148" s="717">
        <v>0</v>
      </c>
      <c r="N148" s="717">
        <v>0</v>
      </c>
      <c r="O148" s="717">
        <v>0</v>
      </c>
      <c r="P148" s="717">
        <v>0</v>
      </c>
      <c r="Q148" s="717">
        <f>SUM(Q141:Q144)</f>
        <v>1762.5</v>
      </c>
      <c r="R148" s="756"/>
    </row>
    <row r="149" spans="1:18" ht="13.5">
      <c r="A149" s="536" t="s">
        <v>1483</v>
      </c>
      <c r="B149" s="476" t="s">
        <v>1352</v>
      </c>
      <c r="C149" s="686" t="s">
        <v>526</v>
      </c>
      <c r="D149" s="735" t="s">
        <v>1544</v>
      </c>
      <c r="E149" s="736">
        <f>SUM(E141:E148)</f>
        <v>26790</v>
      </c>
      <c r="F149" s="751">
        <f aca="true" t="shared" si="61" ref="F149:Q149">SUM(F141:F148)</f>
        <v>1938.75</v>
      </c>
      <c r="G149" s="751">
        <f t="shared" si="61"/>
        <v>1938.75</v>
      </c>
      <c r="H149" s="751">
        <f t="shared" si="61"/>
        <v>2820</v>
      </c>
      <c r="I149" s="751">
        <f t="shared" si="61"/>
        <v>1938.75</v>
      </c>
      <c r="J149" s="751">
        <f t="shared" si="61"/>
        <v>1938.75</v>
      </c>
      <c r="K149" s="751">
        <f t="shared" si="61"/>
        <v>1938.75</v>
      </c>
      <c r="L149" s="751">
        <f t="shared" si="61"/>
        <v>1938.75</v>
      </c>
      <c r="M149" s="751">
        <f t="shared" si="61"/>
        <v>1938.75</v>
      </c>
      <c r="N149" s="751">
        <f t="shared" si="61"/>
        <v>2820</v>
      </c>
      <c r="O149" s="751">
        <f t="shared" si="61"/>
        <v>1938.75</v>
      </c>
      <c r="P149" s="751">
        <f t="shared" si="61"/>
        <v>1938.75</v>
      </c>
      <c r="Q149" s="751">
        <f t="shared" si="61"/>
        <v>3701.25</v>
      </c>
      <c r="R149" s="738"/>
    </row>
    <row r="150" spans="1:18" ht="13.5">
      <c r="A150" s="300"/>
      <c r="B150" s="300"/>
      <c r="C150" s="300"/>
      <c r="D150" s="481"/>
      <c r="E150" s="695"/>
      <c r="F150" s="695"/>
      <c r="G150" s="695"/>
      <c r="H150" s="695"/>
      <c r="I150" s="695"/>
      <c r="J150" s="695"/>
      <c r="K150" s="695"/>
      <c r="L150" s="695"/>
      <c r="M150" s="695"/>
      <c r="N150" s="695"/>
      <c r="O150" s="695"/>
      <c r="P150" s="695"/>
      <c r="Q150" s="695"/>
      <c r="R150" s="569"/>
    </row>
    <row r="151" spans="1:18" ht="13.5">
      <c r="A151" s="300"/>
      <c r="B151" s="300"/>
      <c r="C151" s="300"/>
      <c r="D151" s="481"/>
      <c r="E151" s="695"/>
      <c r="F151" s="695"/>
      <c r="G151" s="695"/>
      <c r="H151" s="695"/>
      <c r="I151" s="695"/>
      <c r="J151" s="695"/>
      <c r="K151" s="695"/>
      <c r="L151" s="695"/>
      <c r="M151" s="695"/>
      <c r="N151" s="695"/>
      <c r="O151" s="695"/>
      <c r="P151" s="695"/>
      <c r="Q151" s="695"/>
      <c r="R151" s="569"/>
    </row>
    <row r="152" spans="1:18" ht="13.5">
      <c r="A152" s="831" t="s">
        <v>1545</v>
      </c>
      <c r="B152" s="832"/>
      <c r="C152" s="832"/>
      <c r="D152" s="833"/>
      <c r="E152" s="685" t="s">
        <v>799</v>
      </c>
      <c r="F152" s="685" t="s">
        <v>1250</v>
      </c>
      <c r="G152" s="685" t="s">
        <v>1251</v>
      </c>
      <c r="H152" s="685" t="s">
        <v>1252</v>
      </c>
      <c r="I152" s="685" t="s">
        <v>1253</v>
      </c>
      <c r="J152" s="685" t="s">
        <v>1254</v>
      </c>
      <c r="K152" s="685" t="s">
        <v>1255</v>
      </c>
      <c r="L152" s="685" t="s">
        <v>1256</v>
      </c>
      <c r="M152" s="685" t="s">
        <v>1257</v>
      </c>
      <c r="N152" s="685" t="s">
        <v>1258</v>
      </c>
      <c r="O152" s="685" t="s">
        <v>1259</v>
      </c>
      <c r="P152" s="685" t="s">
        <v>1260</v>
      </c>
      <c r="Q152" s="685" t="s">
        <v>1261</v>
      </c>
      <c r="R152" s="549"/>
    </row>
    <row r="153" spans="1:18" ht="13.5">
      <c r="A153" s="300" t="s">
        <v>1483</v>
      </c>
      <c r="B153" s="300" t="s">
        <v>536</v>
      </c>
      <c r="C153" s="300" t="s">
        <v>526</v>
      </c>
      <c r="D153" s="452" t="s">
        <v>1531</v>
      </c>
      <c r="E153" s="741">
        <f aca="true" t="shared" si="62" ref="E153:E158">SUM(F153:Q153)</f>
        <v>13800</v>
      </c>
      <c r="F153" s="717">
        <v>1150</v>
      </c>
      <c r="G153" s="717">
        <v>1150</v>
      </c>
      <c r="H153" s="717">
        <v>1150</v>
      </c>
      <c r="I153" s="717">
        <v>1150</v>
      </c>
      <c r="J153" s="717">
        <v>1150</v>
      </c>
      <c r="K153" s="717">
        <v>1150</v>
      </c>
      <c r="L153" s="717">
        <v>1150</v>
      </c>
      <c r="M153" s="717">
        <v>1150</v>
      </c>
      <c r="N153" s="717">
        <v>1150</v>
      </c>
      <c r="O153" s="717">
        <v>1150</v>
      </c>
      <c r="P153" s="717">
        <v>1150</v>
      </c>
      <c r="Q153" s="717">
        <v>1150</v>
      </c>
      <c r="R153" s="756"/>
    </row>
    <row r="154" spans="1:18" ht="13.5">
      <c r="A154" s="300" t="s">
        <v>1483</v>
      </c>
      <c r="B154" s="300" t="s">
        <v>536</v>
      </c>
      <c r="C154" s="300" t="s">
        <v>526</v>
      </c>
      <c r="D154" s="462" t="s">
        <v>1532</v>
      </c>
      <c r="E154" s="741">
        <f t="shared" si="62"/>
        <v>8400</v>
      </c>
      <c r="F154" s="717">
        <v>700</v>
      </c>
      <c r="G154" s="717">
        <v>700</v>
      </c>
      <c r="H154" s="717">
        <v>700</v>
      </c>
      <c r="I154" s="717">
        <v>700</v>
      </c>
      <c r="J154" s="717">
        <v>700</v>
      </c>
      <c r="K154" s="717">
        <v>700</v>
      </c>
      <c r="L154" s="717">
        <v>700</v>
      </c>
      <c r="M154" s="717">
        <v>700</v>
      </c>
      <c r="N154" s="717">
        <v>700</v>
      </c>
      <c r="O154" s="717">
        <v>700</v>
      </c>
      <c r="P154" s="717">
        <v>700</v>
      </c>
      <c r="Q154" s="717">
        <v>700</v>
      </c>
      <c r="R154" s="756"/>
    </row>
    <row r="155" spans="1:18" ht="13.5">
      <c r="A155" s="300" t="s">
        <v>1483</v>
      </c>
      <c r="B155" s="300" t="s">
        <v>536</v>
      </c>
      <c r="C155" s="300" t="s">
        <v>526</v>
      </c>
      <c r="D155" s="462" t="s">
        <v>1511</v>
      </c>
      <c r="E155" s="741">
        <f t="shared" si="62"/>
        <v>1776</v>
      </c>
      <c r="F155" s="717">
        <f>SUM(F153:F154)*0.08</f>
        <v>148</v>
      </c>
      <c r="G155" s="717">
        <f aca="true" t="shared" si="63" ref="G155:Q155">SUM(G153:G154)*0.08</f>
        <v>148</v>
      </c>
      <c r="H155" s="717">
        <f t="shared" si="63"/>
        <v>148</v>
      </c>
      <c r="I155" s="717">
        <f t="shared" si="63"/>
        <v>148</v>
      </c>
      <c r="J155" s="717">
        <f t="shared" si="63"/>
        <v>148</v>
      </c>
      <c r="K155" s="717">
        <f t="shared" si="63"/>
        <v>148</v>
      </c>
      <c r="L155" s="717">
        <f t="shared" si="63"/>
        <v>148</v>
      </c>
      <c r="M155" s="717">
        <f t="shared" si="63"/>
        <v>148</v>
      </c>
      <c r="N155" s="717">
        <f t="shared" si="63"/>
        <v>148</v>
      </c>
      <c r="O155" s="717">
        <f t="shared" si="63"/>
        <v>148</v>
      </c>
      <c r="P155" s="717">
        <f t="shared" si="63"/>
        <v>148</v>
      </c>
      <c r="Q155" s="717">
        <f t="shared" si="63"/>
        <v>148</v>
      </c>
      <c r="R155" s="756"/>
    </row>
    <row r="156" spans="1:18" ht="13.5">
      <c r="A156" s="300" t="s">
        <v>1483</v>
      </c>
      <c r="B156" s="300" t="s">
        <v>536</v>
      </c>
      <c r="C156" s="300" t="s">
        <v>526</v>
      </c>
      <c r="D156" s="462" t="s">
        <v>448</v>
      </c>
      <c r="E156" s="741">
        <f t="shared" si="62"/>
        <v>444</v>
      </c>
      <c r="F156" s="717">
        <f>SUM(F153:F154)*0.02</f>
        <v>37</v>
      </c>
      <c r="G156" s="717">
        <f aca="true" t="shared" si="64" ref="G156:Q156">SUM(G153:G154)*0.02</f>
        <v>37</v>
      </c>
      <c r="H156" s="717">
        <f t="shared" si="64"/>
        <v>37</v>
      </c>
      <c r="I156" s="717">
        <f t="shared" si="64"/>
        <v>37</v>
      </c>
      <c r="J156" s="717">
        <f t="shared" si="64"/>
        <v>37</v>
      </c>
      <c r="K156" s="717">
        <f t="shared" si="64"/>
        <v>37</v>
      </c>
      <c r="L156" s="717">
        <f t="shared" si="64"/>
        <v>37</v>
      </c>
      <c r="M156" s="717">
        <f t="shared" si="64"/>
        <v>37</v>
      </c>
      <c r="N156" s="717">
        <f t="shared" si="64"/>
        <v>37</v>
      </c>
      <c r="O156" s="717">
        <f t="shared" si="64"/>
        <v>37</v>
      </c>
      <c r="P156" s="717">
        <f t="shared" si="64"/>
        <v>37</v>
      </c>
      <c r="Q156" s="717">
        <f t="shared" si="64"/>
        <v>37</v>
      </c>
      <c r="R156" s="756"/>
    </row>
    <row r="157" spans="1:18" ht="13.5">
      <c r="A157" s="300" t="s">
        <v>1483</v>
      </c>
      <c r="B157" s="300" t="s">
        <v>536</v>
      </c>
      <c r="C157" s="300" t="s">
        <v>526</v>
      </c>
      <c r="D157" s="462" t="s">
        <v>1512</v>
      </c>
      <c r="E157" s="741">
        <f t="shared" si="62"/>
        <v>1850</v>
      </c>
      <c r="F157" s="717">
        <v>0</v>
      </c>
      <c r="G157" s="717">
        <v>0</v>
      </c>
      <c r="H157" s="717">
        <f>SUM(H153:H154)/2</f>
        <v>925</v>
      </c>
      <c r="I157" s="717">
        <v>0</v>
      </c>
      <c r="J157" s="717">
        <v>0</v>
      </c>
      <c r="K157" s="717">
        <v>0</v>
      </c>
      <c r="L157" s="717">
        <v>0</v>
      </c>
      <c r="M157" s="717">
        <v>0</v>
      </c>
      <c r="N157" s="717">
        <f>SUM(N153:N154)/2</f>
        <v>925</v>
      </c>
      <c r="O157" s="717">
        <v>0</v>
      </c>
      <c r="P157" s="717">
        <v>0</v>
      </c>
      <c r="Q157" s="717">
        <v>0</v>
      </c>
      <c r="R157" s="756"/>
    </row>
    <row r="158" spans="1:18" ht="13.5">
      <c r="A158" s="300" t="s">
        <v>1483</v>
      </c>
      <c r="B158" s="300" t="s">
        <v>536</v>
      </c>
      <c r="C158" s="300" t="s">
        <v>526</v>
      </c>
      <c r="D158" s="462" t="s">
        <v>1513</v>
      </c>
      <c r="E158" s="741">
        <f t="shared" si="62"/>
        <v>1850</v>
      </c>
      <c r="F158" s="717">
        <v>0</v>
      </c>
      <c r="G158" s="717">
        <v>0</v>
      </c>
      <c r="H158" s="717">
        <v>0</v>
      </c>
      <c r="I158" s="717">
        <v>0</v>
      </c>
      <c r="J158" s="717">
        <v>0</v>
      </c>
      <c r="K158" s="717">
        <v>0</v>
      </c>
      <c r="L158" s="717">
        <v>0</v>
      </c>
      <c r="M158" s="717">
        <v>0</v>
      </c>
      <c r="N158" s="717">
        <v>0</v>
      </c>
      <c r="O158" s="717">
        <v>0</v>
      </c>
      <c r="P158" s="717">
        <v>0</v>
      </c>
      <c r="Q158" s="717">
        <f>SUM(Q153:Q154)</f>
        <v>1850</v>
      </c>
      <c r="R158" s="756"/>
    </row>
    <row r="159" spans="1:18" ht="13.5">
      <c r="A159" s="536" t="s">
        <v>1483</v>
      </c>
      <c r="B159" s="476" t="s">
        <v>536</v>
      </c>
      <c r="C159" s="686" t="s">
        <v>526</v>
      </c>
      <c r="D159" s="735" t="s">
        <v>1545</v>
      </c>
      <c r="E159" s="736">
        <f>SUM(E153:E158)</f>
        <v>28120</v>
      </c>
      <c r="F159" s="751">
        <f aca="true" t="shared" si="65" ref="F159:Q159">SUM(F153:F158)</f>
        <v>2035</v>
      </c>
      <c r="G159" s="751">
        <f t="shared" si="65"/>
        <v>2035</v>
      </c>
      <c r="H159" s="751">
        <f t="shared" si="65"/>
        <v>2960</v>
      </c>
      <c r="I159" s="751">
        <f t="shared" si="65"/>
        <v>2035</v>
      </c>
      <c r="J159" s="751">
        <f t="shared" si="65"/>
        <v>2035</v>
      </c>
      <c r="K159" s="751">
        <f t="shared" si="65"/>
        <v>2035</v>
      </c>
      <c r="L159" s="751">
        <f t="shared" si="65"/>
        <v>2035</v>
      </c>
      <c r="M159" s="751">
        <f t="shared" si="65"/>
        <v>2035</v>
      </c>
      <c r="N159" s="751">
        <f t="shared" si="65"/>
        <v>2960</v>
      </c>
      <c r="O159" s="751">
        <f t="shared" si="65"/>
        <v>2035</v>
      </c>
      <c r="P159" s="751">
        <f t="shared" si="65"/>
        <v>2035</v>
      </c>
      <c r="Q159" s="751">
        <f t="shared" si="65"/>
        <v>3885</v>
      </c>
      <c r="R159" s="738"/>
    </row>
    <row r="160" spans="1:18" ht="13.5">
      <c r="A160" s="300"/>
      <c r="B160" s="300"/>
      <c r="C160" s="300"/>
      <c r="D160" s="481"/>
      <c r="E160" s="695"/>
      <c r="F160" s="695"/>
      <c r="G160" s="695"/>
      <c r="H160" s="695"/>
      <c r="I160" s="695"/>
      <c r="J160" s="695"/>
      <c r="K160" s="695"/>
      <c r="L160" s="695"/>
      <c r="M160" s="695"/>
      <c r="N160" s="695"/>
      <c r="O160" s="695"/>
      <c r="P160" s="695"/>
      <c r="Q160" s="695"/>
      <c r="R160" s="569"/>
    </row>
    <row r="161" spans="1:18" ht="13.5">
      <c r="A161" s="300"/>
      <c r="B161" s="300"/>
      <c r="C161" s="300"/>
      <c r="D161" s="481"/>
      <c r="E161" s="695"/>
      <c r="F161" s="695"/>
      <c r="G161" s="695"/>
      <c r="H161" s="695"/>
      <c r="I161" s="695"/>
      <c r="J161" s="695"/>
      <c r="K161" s="695"/>
      <c r="L161" s="695"/>
      <c r="M161" s="695"/>
      <c r="N161" s="695"/>
      <c r="O161" s="695"/>
      <c r="P161" s="695"/>
      <c r="Q161" s="695"/>
      <c r="R161" s="569"/>
    </row>
    <row r="162" spans="1:18" ht="13.5">
      <c r="A162" s="300"/>
      <c r="B162" s="300"/>
      <c r="C162" s="300"/>
      <c r="D162" s="481"/>
      <c r="E162" s="695"/>
      <c r="F162" s="695"/>
      <c r="G162" s="695"/>
      <c r="H162" s="695"/>
      <c r="I162" s="695"/>
      <c r="J162" s="695"/>
      <c r="K162" s="695"/>
      <c r="L162" s="695"/>
      <c r="M162" s="695"/>
      <c r="N162" s="695"/>
      <c r="O162" s="695"/>
      <c r="P162" s="695"/>
      <c r="Q162" s="695"/>
      <c r="R162" s="569"/>
    </row>
    <row r="163" spans="1:18" ht="13.5">
      <c r="A163" s="831" t="s">
        <v>1546</v>
      </c>
      <c r="B163" s="832"/>
      <c r="C163" s="832"/>
      <c r="D163" s="833"/>
      <c r="E163" s="685" t="s">
        <v>799</v>
      </c>
      <c r="F163" s="685" t="s">
        <v>1250</v>
      </c>
      <c r="G163" s="685" t="s">
        <v>1251</v>
      </c>
      <c r="H163" s="685" t="s">
        <v>1252</v>
      </c>
      <c r="I163" s="685" t="s">
        <v>1253</v>
      </c>
      <c r="J163" s="685" t="s">
        <v>1254</v>
      </c>
      <c r="K163" s="685" t="s">
        <v>1255</v>
      </c>
      <c r="L163" s="685" t="s">
        <v>1256</v>
      </c>
      <c r="M163" s="685" t="s">
        <v>1257</v>
      </c>
      <c r="N163" s="685" t="s">
        <v>1258</v>
      </c>
      <c r="O163" s="685" t="s">
        <v>1259</v>
      </c>
      <c r="P163" s="685" t="s">
        <v>1260</v>
      </c>
      <c r="Q163" s="685" t="s">
        <v>1261</v>
      </c>
      <c r="R163" s="549"/>
    </row>
    <row r="164" spans="1:18" ht="13.5">
      <c r="A164" s="300" t="s">
        <v>1483</v>
      </c>
      <c r="B164" s="300" t="s">
        <v>1467</v>
      </c>
      <c r="C164" s="300" t="s">
        <v>1263</v>
      </c>
      <c r="D164" s="452" t="s">
        <v>1547</v>
      </c>
      <c r="E164" s="741">
        <f aca="true" t="shared" si="66" ref="E164:E170">SUM(F164:Q164)</f>
        <v>36000</v>
      </c>
      <c r="F164" s="717">
        <v>3000</v>
      </c>
      <c r="G164" s="717">
        <v>3000</v>
      </c>
      <c r="H164" s="717">
        <v>3000</v>
      </c>
      <c r="I164" s="717">
        <v>3000</v>
      </c>
      <c r="J164" s="717">
        <v>3000</v>
      </c>
      <c r="K164" s="717">
        <v>3000</v>
      </c>
      <c r="L164" s="717">
        <v>3000</v>
      </c>
      <c r="M164" s="717">
        <v>3000</v>
      </c>
      <c r="N164" s="717">
        <v>3000</v>
      </c>
      <c r="O164" s="717">
        <v>3000</v>
      </c>
      <c r="P164" s="717">
        <v>3000</v>
      </c>
      <c r="Q164" s="717">
        <v>3000</v>
      </c>
      <c r="R164" s="756"/>
    </row>
    <row r="165" spans="1:18" ht="13.5">
      <c r="A165" s="300" t="s">
        <v>1483</v>
      </c>
      <c r="B165" s="300" t="s">
        <v>1467</v>
      </c>
      <c r="C165" s="300" t="s">
        <v>1263</v>
      </c>
      <c r="D165" s="452" t="s">
        <v>805</v>
      </c>
      <c r="E165" s="741">
        <f t="shared" si="66"/>
        <v>18000</v>
      </c>
      <c r="F165" s="717">
        <v>1500</v>
      </c>
      <c r="G165" s="717">
        <v>1500</v>
      </c>
      <c r="H165" s="717">
        <v>1500</v>
      </c>
      <c r="I165" s="717">
        <v>1500</v>
      </c>
      <c r="J165" s="717">
        <v>1500</v>
      </c>
      <c r="K165" s="717">
        <v>1500</v>
      </c>
      <c r="L165" s="717">
        <v>1500</v>
      </c>
      <c r="M165" s="717">
        <v>1500</v>
      </c>
      <c r="N165" s="717">
        <v>1500</v>
      </c>
      <c r="O165" s="717">
        <v>1500</v>
      </c>
      <c r="P165" s="717">
        <v>1500</v>
      </c>
      <c r="Q165" s="717">
        <v>1500</v>
      </c>
      <c r="R165" s="758"/>
    </row>
    <row r="166" spans="1:18" ht="13.5">
      <c r="A166" s="300" t="s">
        <v>1483</v>
      </c>
      <c r="B166" s="300" t="s">
        <v>1467</v>
      </c>
      <c r="C166" s="300" t="s">
        <v>1263</v>
      </c>
      <c r="D166" s="462" t="s">
        <v>1525</v>
      </c>
      <c r="E166" s="741">
        <f t="shared" si="66"/>
        <v>8400</v>
      </c>
      <c r="F166" s="717">
        <v>700</v>
      </c>
      <c r="G166" s="717">
        <v>700</v>
      </c>
      <c r="H166" s="717">
        <v>700</v>
      </c>
      <c r="I166" s="717">
        <v>700</v>
      </c>
      <c r="J166" s="717">
        <v>700</v>
      </c>
      <c r="K166" s="717">
        <v>700</v>
      </c>
      <c r="L166" s="717">
        <v>700</v>
      </c>
      <c r="M166" s="717">
        <v>700</v>
      </c>
      <c r="N166" s="717">
        <v>700</v>
      </c>
      <c r="O166" s="717">
        <v>700</v>
      </c>
      <c r="P166" s="717">
        <v>700</v>
      </c>
      <c r="Q166" s="717">
        <v>700</v>
      </c>
      <c r="R166" s="756"/>
    </row>
    <row r="167" spans="1:18" ht="13.5">
      <c r="A167" s="300" t="s">
        <v>1483</v>
      </c>
      <c r="B167" s="300" t="s">
        <v>1467</v>
      </c>
      <c r="C167" s="300" t="s">
        <v>1263</v>
      </c>
      <c r="D167" s="462" t="s">
        <v>1511</v>
      </c>
      <c r="E167" s="741">
        <f t="shared" si="66"/>
        <v>4992</v>
      </c>
      <c r="F167" s="717">
        <f aca="true" t="shared" si="67" ref="F167:Q167">SUM(F164:F166)*0.08</f>
        <v>416</v>
      </c>
      <c r="G167" s="717">
        <f t="shared" si="67"/>
        <v>416</v>
      </c>
      <c r="H167" s="717">
        <f t="shared" si="67"/>
        <v>416</v>
      </c>
      <c r="I167" s="717">
        <f t="shared" si="67"/>
        <v>416</v>
      </c>
      <c r="J167" s="717">
        <f t="shared" si="67"/>
        <v>416</v>
      </c>
      <c r="K167" s="717">
        <f t="shared" si="67"/>
        <v>416</v>
      </c>
      <c r="L167" s="717">
        <f t="shared" si="67"/>
        <v>416</v>
      </c>
      <c r="M167" s="717">
        <f t="shared" si="67"/>
        <v>416</v>
      </c>
      <c r="N167" s="717">
        <f t="shared" si="67"/>
        <v>416</v>
      </c>
      <c r="O167" s="717">
        <f t="shared" si="67"/>
        <v>416</v>
      </c>
      <c r="P167" s="717">
        <f t="shared" si="67"/>
        <v>416</v>
      </c>
      <c r="Q167" s="717">
        <f t="shared" si="67"/>
        <v>416</v>
      </c>
      <c r="R167" s="756"/>
    </row>
    <row r="168" spans="1:18" ht="13.5">
      <c r="A168" s="300" t="s">
        <v>1483</v>
      </c>
      <c r="B168" s="300" t="s">
        <v>1467</v>
      </c>
      <c r="C168" s="300" t="s">
        <v>1263</v>
      </c>
      <c r="D168" s="462" t="s">
        <v>448</v>
      </c>
      <c r="E168" s="741">
        <f t="shared" si="66"/>
        <v>1248</v>
      </c>
      <c r="F168" s="717">
        <f aca="true" t="shared" si="68" ref="F168:Q168">SUM(F164:F166)*0.02</f>
        <v>104</v>
      </c>
      <c r="G168" s="717">
        <f t="shared" si="68"/>
        <v>104</v>
      </c>
      <c r="H168" s="717">
        <f t="shared" si="68"/>
        <v>104</v>
      </c>
      <c r="I168" s="717">
        <f t="shared" si="68"/>
        <v>104</v>
      </c>
      <c r="J168" s="717">
        <f t="shared" si="68"/>
        <v>104</v>
      </c>
      <c r="K168" s="717">
        <f t="shared" si="68"/>
        <v>104</v>
      </c>
      <c r="L168" s="717">
        <f t="shared" si="68"/>
        <v>104</v>
      </c>
      <c r="M168" s="717">
        <f t="shared" si="68"/>
        <v>104</v>
      </c>
      <c r="N168" s="717">
        <f t="shared" si="68"/>
        <v>104</v>
      </c>
      <c r="O168" s="717">
        <f t="shared" si="68"/>
        <v>104</v>
      </c>
      <c r="P168" s="717">
        <f t="shared" si="68"/>
        <v>104</v>
      </c>
      <c r="Q168" s="717">
        <f t="shared" si="68"/>
        <v>104</v>
      </c>
      <c r="R168" s="756"/>
    </row>
    <row r="169" spans="1:18" ht="13.5">
      <c r="A169" s="300" t="s">
        <v>1483</v>
      </c>
      <c r="B169" s="300" t="s">
        <v>1467</v>
      </c>
      <c r="C169" s="300" t="s">
        <v>1263</v>
      </c>
      <c r="D169" s="462" t="s">
        <v>1512</v>
      </c>
      <c r="E169" s="741">
        <f t="shared" si="66"/>
        <v>5200</v>
      </c>
      <c r="F169" s="717">
        <v>0</v>
      </c>
      <c r="G169" s="717">
        <v>0</v>
      </c>
      <c r="H169" s="717">
        <f>SUM(H164:H166)/2</f>
        <v>2600</v>
      </c>
      <c r="I169" s="717">
        <v>0</v>
      </c>
      <c r="J169" s="717">
        <v>0</v>
      </c>
      <c r="K169" s="717">
        <v>0</v>
      </c>
      <c r="L169" s="717">
        <v>0</v>
      </c>
      <c r="M169" s="717">
        <v>0</v>
      </c>
      <c r="N169" s="717">
        <f>SUM(N164:N166)/2</f>
        <v>2600</v>
      </c>
      <c r="O169" s="717">
        <v>0</v>
      </c>
      <c r="P169" s="717">
        <v>0</v>
      </c>
      <c r="Q169" s="717">
        <v>0</v>
      </c>
      <c r="R169" s="756"/>
    </row>
    <row r="170" spans="1:18" ht="13.5">
      <c r="A170" s="300" t="s">
        <v>1483</v>
      </c>
      <c r="B170" s="300" t="s">
        <v>1467</v>
      </c>
      <c r="C170" s="300" t="s">
        <v>1263</v>
      </c>
      <c r="D170" s="462" t="s">
        <v>1513</v>
      </c>
      <c r="E170" s="741">
        <f t="shared" si="66"/>
        <v>5200</v>
      </c>
      <c r="F170" s="717">
        <v>0</v>
      </c>
      <c r="G170" s="717">
        <v>0</v>
      </c>
      <c r="H170" s="717">
        <v>0</v>
      </c>
      <c r="I170" s="717">
        <v>0</v>
      </c>
      <c r="J170" s="717">
        <v>0</v>
      </c>
      <c r="K170" s="717">
        <v>0</v>
      </c>
      <c r="L170" s="717">
        <v>0</v>
      </c>
      <c r="M170" s="717">
        <v>0</v>
      </c>
      <c r="N170" s="717">
        <v>0</v>
      </c>
      <c r="O170" s="717">
        <v>0</v>
      </c>
      <c r="P170" s="717">
        <v>0</v>
      </c>
      <c r="Q170" s="717">
        <f>SUM(Q164:Q166)</f>
        <v>5200</v>
      </c>
      <c r="R170" s="756"/>
    </row>
    <row r="171" spans="1:18" ht="13.5">
      <c r="A171" s="536" t="s">
        <v>1483</v>
      </c>
      <c r="B171" s="476" t="s">
        <v>1467</v>
      </c>
      <c r="C171" s="686" t="s">
        <v>1263</v>
      </c>
      <c r="D171" s="735" t="s">
        <v>1546</v>
      </c>
      <c r="E171" s="736">
        <f>SUM(E164:E170)</f>
        <v>79040</v>
      </c>
      <c r="F171" s="751">
        <f aca="true" t="shared" si="69" ref="F171:Q171">SUM(F164:F170)</f>
        <v>5720</v>
      </c>
      <c r="G171" s="751">
        <f t="shared" si="69"/>
        <v>5720</v>
      </c>
      <c r="H171" s="751">
        <f t="shared" si="69"/>
        <v>8320</v>
      </c>
      <c r="I171" s="751">
        <f t="shared" si="69"/>
        <v>5720</v>
      </c>
      <c r="J171" s="751">
        <f t="shared" si="69"/>
        <v>5720</v>
      </c>
      <c r="K171" s="751">
        <f t="shared" si="69"/>
        <v>5720</v>
      </c>
      <c r="L171" s="751">
        <f t="shared" si="69"/>
        <v>5720</v>
      </c>
      <c r="M171" s="751">
        <f t="shared" si="69"/>
        <v>5720</v>
      </c>
      <c r="N171" s="751">
        <f t="shared" si="69"/>
        <v>8320</v>
      </c>
      <c r="O171" s="751">
        <f t="shared" si="69"/>
        <v>5720</v>
      </c>
      <c r="P171" s="751">
        <f t="shared" si="69"/>
        <v>5720</v>
      </c>
      <c r="Q171" s="751">
        <f t="shared" si="69"/>
        <v>10920</v>
      </c>
      <c r="R171" s="738"/>
    </row>
  </sheetData>
  <sheetProtection/>
  <mergeCells count="20">
    <mergeCell ref="F2:H2"/>
    <mergeCell ref="I2:K2"/>
    <mergeCell ref="L2:N2"/>
    <mergeCell ref="O2:Q2"/>
    <mergeCell ref="A3:D3"/>
    <mergeCell ref="A14:D14"/>
    <mergeCell ref="A23:D23"/>
    <mergeCell ref="A29:D29"/>
    <mergeCell ref="A43:D43"/>
    <mergeCell ref="A52:D52"/>
    <mergeCell ref="A62:D62"/>
    <mergeCell ref="A73:D73"/>
    <mergeCell ref="A152:D152"/>
    <mergeCell ref="A163:D163"/>
    <mergeCell ref="A84:D84"/>
    <mergeCell ref="A94:D94"/>
    <mergeCell ref="A106:D106"/>
    <mergeCell ref="A118:D118"/>
    <mergeCell ref="A128:D128"/>
    <mergeCell ref="A140:D1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R20"/>
  <sheetViews>
    <sheetView workbookViewId="0" topLeftCell="A1">
      <selection activeCell="A1" sqref="A1"/>
    </sheetView>
  </sheetViews>
  <sheetFormatPr defaultColWidth="11.42187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32" t="s">
        <v>1245</v>
      </c>
      <c r="G2" s="832"/>
      <c r="H2" s="833"/>
      <c r="I2" s="835" t="s">
        <v>1246</v>
      </c>
      <c r="J2" s="835"/>
      <c r="K2" s="835"/>
      <c r="L2" s="835" t="s">
        <v>1247</v>
      </c>
      <c r="M2" s="835"/>
      <c r="N2" s="835"/>
      <c r="O2" s="835" t="s">
        <v>1248</v>
      </c>
      <c r="P2" s="835"/>
      <c r="Q2" s="835"/>
      <c r="R2" s="564"/>
    </row>
    <row r="3" spans="1:18" ht="13.5">
      <c r="A3" s="831"/>
      <c r="B3" s="832"/>
      <c r="C3" s="832"/>
      <c r="D3" s="833"/>
      <c r="E3" s="685" t="s">
        <v>799</v>
      </c>
      <c r="F3" s="685" t="s">
        <v>1250</v>
      </c>
      <c r="G3" s="685" t="s">
        <v>1251</v>
      </c>
      <c r="H3" s="685" t="s">
        <v>1252</v>
      </c>
      <c r="I3" s="685" t="s">
        <v>1253</v>
      </c>
      <c r="J3" s="685" t="s">
        <v>1254</v>
      </c>
      <c r="K3" s="685" t="s">
        <v>1255</v>
      </c>
      <c r="L3" s="685" t="s">
        <v>1256</v>
      </c>
      <c r="M3" s="685" t="s">
        <v>1257</v>
      </c>
      <c r="N3" s="685" t="s">
        <v>1258</v>
      </c>
      <c r="O3" s="685" t="s">
        <v>1259</v>
      </c>
      <c r="P3" s="685" t="s">
        <v>1260</v>
      </c>
      <c r="Q3" s="685" t="s">
        <v>1261</v>
      </c>
      <c r="R3" s="549"/>
    </row>
    <row r="4" spans="1:18" ht="13.5">
      <c r="A4" s="476" t="s">
        <v>1466</v>
      </c>
      <c r="B4" s="476" t="s">
        <v>1467</v>
      </c>
      <c r="C4" s="686" t="s">
        <v>1462</v>
      </c>
      <c r="D4" s="687" t="s">
        <v>1468</v>
      </c>
      <c r="E4" s="688">
        <f>SUM(F4:Q4)</f>
        <v>11250</v>
      </c>
      <c r="F4" s="689">
        <v>0</v>
      </c>
      <c r="G4" s="689">
        <v>0</v>
      </c>
      <c r="H4" s="689">
        <v>7500</v>
      </c>
      <c r="I4" s="689">
        <f>7500/2</f>
        <v>3750</v>
      </c>
      <c r="J4" s="689" t="s">
        <v>1469</v>
      </c>
      <c r="K4" s="689">
        <v>0</v>
      </c>
      <c r="L4" s="689">
        <v>0</v>
      </c>
      <c r="M4" s="689">
        <v>0</v>
      </c>
      <c r="N4" s="689">
        <v>0</v>
      </c>
      <c r="O4" s="689">
        <v>0</v>
      </c>
      <c r="P4" s="689">
        <v>0</v>
      </c>
      <c r="Q4" s="690">
        <v>0</v>
      </c>
      <c r="R4" s="691" t="s">
        <v>1470</v>
      </c>
    </row>
    <row r="5" spans="1:18" ht="13.5">
      <c r="A5" s="300"/>
      <c r="B5" s="300"/>
      <c r="C5" s="300"/>
      <c r="D5" s="692"/>
      <c r="E5" s="693"/>
      <c r="F5" s="693"/>
      <c r="G5" s="693"/>
      <c r="H5" s="693"/>
      <c r="I5" s="693"/>
      <c r="J5" s="693"/>
      <c r="K5" s="693"/>
      <c r="L5" s="693"/>
      <c r="M5" s="693"/>
      <c r="N5" s="693"/>
      <c r="O5" s="693"/>
      <c r="P5" s="693"/>
      <c r="Q5" s="693"/>
      <c r="R5" s="484"/>
    </row>
    <row r="6" spans="1:18" ht="13.5">
      <c r="A6" s="300"/>
      <c r="B6" s="300"/>
      <c r="C6" s="694"/>
      <c r="D6" s="481"/>
      <c r="E6" s="695"/>
      <c r="F6" s="695"/>
      <c r="G6" s="695"/>
      <c r="H6" s="695"/>
      <c r="I6" s="695"/>
      <c r="J6" s="695"/>
      <c r="K6" s="695"/>
      <c r="L6" s="695"/>
      <c r="M6" s="695"/>
      <c r="N6" s="695"/>
      <c r="O6" s="695"/>
      <c r="P6" s="695"/>
      <c r="Q6" s="695"/>
      <c r="R6" s="484"/>
    </row>
    <row r="7" spans="1:18" ht="13.5">
      <c r="A7" s="831" t="s">
        <v>1471</v>
      </c>
      <c r="B7" s="832"/>
      <c r="C7" s="832"/>
      <c r="D7" s="833"/>
      <c r="E7" s="685" t="s">
        <v>799</v>
      </c>
      <c r="F7" s="685" t="s">
        <v>1250</v>
      </c>
      <c r="G7" s="685" t="s">
        <v>1251</v>
      </c>
      <c r="H7" s="685" t="s">
        <v>1252</v>
      </c>
      <c r="I7" s="685" t="s">
        <v>1253</v>
      </c>
      <c r="J7" s="685" t="s">
        <v>1254</v>
      </c>
      <c r="K7" s="685" t="s">
        <v>1255</v>
      </c>
      <c r="L7" s="685" t="s">
        <v>1256</v>
      </c>
      <c r="M7" s="685" t="s">
        <v>1257</v>
      </c>
      <c r="N7" s="685" t="s">
        <v>1258</v>
      </c>
      <c r="O7" s="685" t="s">
        <v>1259</v>
      </c>
      <c r="P7" s="685" t="s">
        <v>1260</v>
      </c>
      <c r="Q7" s="685" t="s">
        <v>1261</v>
      </c>
      <c r="R7" s="549"/>
    </row>
    <row r="8" spans="1:18" ht="13.5">
      <c r="A8" s="300" t="s">
        <v>1466</v>
      </c>
      <c r="B8" s="300" t="s">
        <v>1467</v>
      </c>
      <c r="C8" s="640" t="s">
        <v>1289</v>
      </c>
      <c r="D8" s="460" t="s">
        <v>1472</v>
      </c>
      <c r="E8" s="696">
        <f>SUM(F8:Q8)</f>
        <v>18000</v>
      </c>
      <c r="F8" s="697">
        <v>1500</v>
      </c>
      <c r="G8" s="697">
        <v>1500</v>
      </c>
      <c r="H8" s="697">
        <v>1500</v>
      </c>
      <c r="I8" s="697">
        <v>1500</v>
      </c>
      <c r="J8" s="697">
        <v>1500</v>
      </c>
      <c r="K8" s="697">
        <v>1500</v>
      </c>
      <c r="L8" s="697">
        <v>1500</v>
      </c>
      <c r="M8" s="697">
        <v>1500</v>
      </c>
      <c r="N8" s="697">
        <v>1500</v>
      </c>
      <c r="O8" s="697">
        <v>1500</v>
      </c>
      <c r="P8" s="697">
        <v>1500</v>
      </c>
      <c r="Q8" s="698">
        <v>1500</v>
      </c>
      <c r="R8" s="699"/>
    </row>
    <row r="9" spans="1:18" ht="13.5">
      <c r="A9" s="300" t="s">
        <v>1466</v>
      </c>
      <c r="B9" s="300" t="s">
        <v>1467</v>
      </c>
      <c r="C9" s="300" t="s">
        <v>1289</v>
      </c>
      <c r="D9" s="462" t="s">
        <v>1473</v>
      </c>
      <c r="E9" s="696">
        <f>SUM(F9:Q9)</f>
        <v>12000</v>
      </c>
      <c r="F9" s="697">
        <v>1000</v>
      </c>
      <c r="G9" s="697">
        <v>1000</v>
      </c>
      <c r="H9" s="697">
        <v>1000</v>
      </c>
      <c r="I9" s="697">
        <v>1000</v>
      </c>
      <c r="J9" s="697">
        <v>1000</v>
      </c>
      <c r="K9" s="697">
        <v>1000</v>
      </c>
      <c r="L9" s="697">
        <v>1000</v>
      </c>
      <c r="M9" s="697">
        <v>1000</v>
      </c>
      <c r="N9" s="697">
        <v>1000</v>
      </c>
      <c r="O9" s="697">
        <v>1000</v>
      </c>
      <c r="P9" s="697">
        <v>1000</v>
      </c>
      <c r="Q9" s="697">
        <v>1000</v>
      </c>
      <c r="R9" s="700"/>
    </row>
    <row r="10" spans="1:18" ht="13.5">
      <c r="A10" s="300" t="s">
        <v>1466</v>
      </c>
      <c r="B10" s="300" t="s">
        <v>1467</v>
      </c>
      <c r="C10" s="300" t="s">
        <v>1289</v>
      </c>
      <c r="D10" s="452" t="s">
        <v>1474</v>
      </c>
      <c r="E10" s="701">
        <f>SUM(F10:Q10)</f>
        <v>13200</v>
      </c>
      <c r="F10" s="702">
        <v>1100</v>
      </c>
      <c r="G10" s="702">
        <v>1100</v>
      </c>
      <c r="H10" s="702">
        <v>1100</v>
      </c>
      <c r="I10" s="702">
        <v>1100</v>
      </c>
      <c r="J10" s="702">
        <v>1100</v>
      </c>
      <c r="K10" s="702">
        <v>1100</v>
      </c>
      <c r="L10" s="702">
        <v>1100</v>
      </c>
      <c r="M10" s="702">
        <v>1100</v>
      </c>
      <c r="N10" s="702">
        <v>1100</v>
      </c>
      <c r="O10" s="702">
        <v>1100</v>
      </c>
      <c r="P10" s="702">
        <v>1100</v>
      </c>
      <c r="Q10" s="702">
        <v>1100</v>
      </c>
      <c r="R10" s="703"/>
    </row>
    <row r="11" spans="1:18" ht="13.5">
      <c r="A11" s="300" t="s">
        <v>1466</v>
      </c>
      <c r="B11" s="300" t="s">
        <v>1467</v>
      </c>
      <c r="C11" s="300" t="s">
        <v>1289</v>
      </c>
      <c r="D11" s="704" t="s">
        <v>1475</v>
      </c>
      <c r="E11" s="701">
        <f>SUM(F11:Q11)</f>
        <v>10800</v>
      </c>
      <c r="F11" s="702">
        <v>900</v>
      </c>
      <c r="G11" s="702">
        <v>900</v>
      </c>
      <c r="H11" s="702">
        <v>900</v>
      </c>
      <c r="I11" s="702">
        <v>900</v>
      </c>
      <c r="J11" s="702">
        <v>900</v>
      </c>
      <c r="K11" s="702">
        <v>900</v>
      </c>
      <c r="L11" s="702">
        <v>900</v>
      </c>
      <c r="M11" s="702">
        <v>900</v>
      </c>
      <c r="N11" s="702">
        <v>900</v>
      </c>
      <c r="O11" s="702">
        <v>900</v>
      </c>
      <c r="P11" s="702">
        <v>900</v>
      </c>
      <c r="Q11" s="702">
        <v>900</v>
      </c>
      <c r="R11" s="703"/>
    </row>
    <row r="12" spans="1:18" ht="13.5">
      <c r="A12" s="536" t="s">
        <v>1466</v>
      </c>
      <c r="B12" s="476" t="s">
        <v>1467</v>
      </c>
      <c r="C12" s="476" t="s">
        <v>1289</v>
      </c>
      <c r="D12" s="504" t="s">
        <v>1476</v>
      </c>
      <c r="E12" s="705">
        <f>SUM(E8:E11)</f>
        <v>54000</v>
      </c>
      <c r="F12" s="706">
        <f>SUM(F8:F11)</f>
        <v>4500</v>
      </c>
      <c r="G12" s="706">
        <f aca="true" t="shared" si="0" ref="G12:Q12">SUM(G8:G11)</f>
        <v>4500</v>
      </c>
      <c r="H12" s="706">
        <f t="shared" si="0"/>
        <v>4500</v>
      </c>
      <c r="I12" s="706">
        <f t="shared" si="0"/>
        <v>4500</v>
      </c>
      <c r="J12" s="706">
        <f t="shared" si="0"/>
        <v>4500</v>
      </c>
      <c r="K12" s="706">
        <f t="shared" si="0"/>
        <v>4500</v>
      </c>
      <c r="L12" s="706">
        <f t="shared" si="0"/>
        <v>4500</v>
      </c>
      <c r="M12" s="706">
        <f t="shared" si="0"/>
        <v>4500</v>
      </c>
      <c r="N12" s="706">
        <f t="shared" si="0"/>
        <v>4500</v>
      </c>
      <c r="O12" s="706">
        <f t="shared" si="0"/>
        <v>4500</v>
      </c>
      <c r="P12" s="706">
        <f t="shared" si="0"/>
        <v>4500</v>
      </c>
      <c r="Q12" s="706">
        <f t="shared" si="0"/>
        <v>4500</v>
      </c>
      <c r="R12" s="707"/>
    </row>
    <row r="13" spans="1:18" ht="13.5">
      <c r="A13" s="506"/>
      <c r="B13" s="506"/>
      <c r="C13" s="506"/>
      <c r="D13" s="708"/>
      <c r="E13" s="709"/>
      <c r="F13" s="709"/>
      <c r="G13" s="709"/>
      <c r="H13" s="709"/>
      <c r="I13" s="709"/>
      <c r="J13" s="709"/>
      <c r="K13" s="709"/>
      <c r="L13" s="709"/>
      <c r="M13" s="709"/>
      <c r="N13" s="709"/>
      <c r="O13" s="709"/>
      <c r="P13" s="709"/>
      <c r="Q13" s="709"/>
      <c r="R13" s="710"/>
    </row>
    <row r="14" spans="1:18" ht="13.5">
      <c r="A14" s="564"/>
      <c r="B14" s="564"/>
      <c r="C14" s="564"/>
      <c r="D14" s="564"/>
      <c r="E14" s="564"/>
      <c r="F14" s="564"/>
      <c r="G14" s="564"/>
      <c r="H14" s="564"/>
      <c r="I14" s="564"/>
      <c r="J14" s="564"/>
      <c r="K14" s="564"/>
      <c r="L14" s="564"/>
      <c r="M14" s="564"/>
      <c r="N14" s="564"/>
      <c r="O14" s="564"/>
      <c r="P14" s="564"/>
      <c r="Q14" s="564"/>
      <c r="R14" s="564"/>
    </row>
    <row r="15" spans="1:18" ht="13.5">
      <c r="A15" s="831" t="s">
        <v>1477</v>
      </c>
      <c r="B15" s="832"/>
      <c r="C15" s="832"/>
      <c r="D15" s="833"/>
      <c r="E15" s="685" t="s">
        <v>799</v>
      </c>
      <c r="F15" s="685" t="s">
        <v>1250</v>
      </c>
      <c r="G15" s="685" t="s">
        <v>1251</v>
      </c>
      <c r="H15" s="685" t="s">
        <v>1252</v>
      </c>
      <c r="I15" s="685" t="s">
        <v>1253</v>
      </c>
      <c r="J15" s="685" t="s">
        <v>1254</v>
      </c>
      <c r="K15" s="685" t="s">
        <v>1255</v>
      </c>
      <c r="L15" s="685" t="s">
        <v>1256</v>
      </c>
      <c r="M15" s="685" t="s">
        <v>1257</v>
      </c>
      <c r="N15" s="685" t="s">
        <v>1258</v>
      </c>
      <c r="O15" s="685" t="s">
        <v>1259</v>
      </c>
      <c r="P15" s="685" t="s">
        <v>1260</v>
      </c>
      <c r="Q15" s="685" t="s">
        <v>1261</v>
      </c>
      <c r="R15" s="549"/>
    </row>
    <row r="16" spans="1:18" ht="13.5">
      <c r="A16" s="300" t="s">
        <v>1466</v>
      </c>
      <c r="B16" s="300" t="s">
        <v>1352</v>
      </c>
      <c r="C16" s="300" t="s">
        <v>1262</v>
      </c>
      <c r="D16" s="449" t="s">
        <v>1478</v>
      </c>
      <c r="E16" s="711">
        <f>SUM(F16:Q16)</f>
        <v>3600</v>
      </c>
      <c r="F16" s="712">
        <v>300</v>
      </c>
      <c r="G16" s="712">
        <v>300</v>
      </c>
      <c r="H16" s="712">
        <v>300</v>
      </c>
      <c r="I16" s="712">
        <v>300</v>
      </c>
      <c r="J16" s="712">
        <v>300</v>
      </c>
      <c r="K16" s="712">
        <v>300</v>
      </c>
      <c r="L16" s="712">
        <v>300</v>
      </c>
      <c r="M16" s="712">
        <v>300</v>
      </c>
      <c r="N16" s="712">
        <v>300</v>
      </c>
      <c r="O16" s="712">
        <v>300</v>
      </c>
      <c r="P16" s="712">
        <v>300</v>
      </c>
      <c r="Q16" s="712">
        <v>300</v>
      </c>
      <c r="R16" s="713" t="s">
        <v>1479</v>
      </c>
    </row>
    <row r="17" spans="1:18" ht="13.5">
      <c r="A17" s="300" t="s">
        <v>1466</v>
      </c>
      <c r="B17" s="300" t="s">
        <v>1352</v>
      </c>
      <c r="C17" s="300" t="s">
        <v>1289</v>
      </c>
      <c r="D17" s="714" t="s">
        <v>1480</v>
      </c>
      <c r="E17" s="715">
        <f>SUM(F17:Q17)</f>
        <v>1200</v>
      </c>
      <c r="F17" s="716">
        <v>100</v>
      </c>
      <c r="G17" s="716">
        <v>100</v>
      </c>
      <c r="H17" s="716">
        <v>100</v>
      </c>
      <c r="I17" s="716">
        <v>100</v>
      </c>
      <c r="J17" s="716">
        <v>100</v>
      </c>
      <c r="K17" s="716">
        <v>100</v>
      </c>
      <c r="L17" s="716">
        <v>100</v>
      </c>
      <c r="M17" s="716">
        <v>100</v>
      </c>
      <c r="N17" s="716">
        <v>100</v>
      </c>
      <c r="O17" s="716">
        <v>100</v>
      </c>
      <c r="P17" s="716">
        <v>100</v>
      </c>
      <c r="Q17" s="716">
        <v>100</v>
      </c>
      <c r="R17" s="713" t="s">
        <v>1479</v>
      </c>
    </row>
    <row r="18" spans="1:18" ht="13.5">
      <c r="A18" s="300" t="s">
        <v>1466</v>
      </c>
      <c r="B18" s="300" t="s">
        <v>1352</v>
      </c>
      <c r="C18" s="300" t="s">
        <v>524</v>
      </c>
      <c r="D18" s="462" t="s">
        <v>1481</v>
      </c>
      <c r="E18" s="715">
        <f>SUM(F18:Q18)</f>
        <v>2400</v>
      </c>
      <c r="F18" s="717">
        <v>200</v>
      </c>
      <c r="G18" s="717">
        <v>200</v>
      </c>
      <c r="H18" s="717">
        <v>200</v>
      </c>
      <c r="I18" s="717">
        <v>200</v>
      </c>
      <c r="J18" s="717">
        <v>200</v>
      </c>
      <c r="K18" s="717">
        <v>200</v>
      </c>
      <c r="L18" s="717">
        <v>200</v>
      </c>
      <c r="M18" s="717">
        <v>200</v>
      </c>
      <c r="N18" s="717">
        <v>200</v>
      </c>
      <c r="O18" s="717">
        <v>200</v>
      </c>
      <c r="P18" s="717">
        <v>200</v>
      </c>
      <c r="Q18" s="717">
        <v>200</v>
      </c>
      <c r="R18" s="713" t="s">
        <v>1479</v>
      </c>
    </row>
    <row r="19" spans="1:18" ht="13.5">
      <c r="A19" s="300" t="s">
        <v>1466</v>
      </c>
      <c r="B19" s="300" t="s">
        <v>1352</v>
      </c>
      <c r="C19" s="300" t="s">
        <v>526</v>
      </c>
      <c r="D19" s="462" t="s">
        <v>1481</v>
      </c>
      <c r="E19" s="715">
        <f>SUM(F19:Q19)</f>
        <v>1800</v>
      </c>
      <c r="F19" s="717">
        <v>150</v>
      </c>
      <c r="G19" s="717">
        <v>150</v>
      </c>
      <c r="H19" s="717">
        <v>150</v>
      </c>
      <c r="I19" s="717">
        <v>150</v>
      </c>
      <c r="J19" s="717">
        <v>150</v>
      </c>
      <c r="K19" s="717">
        <v>150</v>
      </c>
      <c r="L19" s="717">
        <v>150</v>
      </c>
      <c r="M19" s="717">
        <v>150</v>
      </c>
      <c r="N19" s="717">
        <v>150</v>
      </c>
      <c r="O19" s="717">
        <v>150</v>
      </c>
      <c r="P19" s="717">
        <v>150</v>
      </c>
      <c r="Q19" s="717">
        <v>150</v>
      </c>
      <c r="R19" s="713" t="s">
        <v>1479</v>
      </c>
    </row>
    <row r="20" spans="1:18" ht="13.5">
      <c r="A20" s="465" t="s">
        <v>1466</v>
      </c>
      <c r="B20" s="465" t="s">
        <v>1352</v>
      </c>
      <c r="C20" s="465" t="s">
        <v>1263</v>
      </c>
      <c r="D20" s="466" t="s">
        <v>1481</v>
      </c>
      <c r="E20" s="718">
        <f>SUM(F20:Q20)</f>
        <v>1200</v>
      </c>
      <c r="F20" s="719">
        <v>100</v>
      </c>
      <c r="G20" s="719">
        <v>100</v>
      </c>
      <c r="H20" s="719">
        <v>100</v>
      </c>
      <c r="I20" s="719">
        <v>100</v>
      </c>
      <c r="J20" s="719">
        <v>100</v>
      </c>
      <c r="K20" s="719">
        <v>100</v>
      </c>
      <c r="L20" s="719">
        <v>100</v>
      </c>
      <c r="M20" s="719">
        <v>100</v>
      </c>
      <c r="N20" s="719">
        <v>100</v>
      </c>
      <c r="O20" s="719">
        <v>100</v>
      </c>
      <c r="P20" s="719">
        <v>100</v>
      </c>
      <c r="Q20" s="719">
        <v>100</v>
      </c>
      <c r="R20" s="713" t="s">
        <v>1479</v>
      </c>
    </row>
  </sheetData>
  <sheetProtection/>
  <mergeCells count="7">
    <mergeCell ref="A15:D15"/>
    <mergeCell ref="F2:H2"/>
    <mergeCell ref="I2:K2"/>
    <mergeCell ref="L2:N2"/>
    <mergeCell ref="O2:Q2"/>
    <mergeCell ref="A3:D3"/>
    <mergeCell ref="A7:D7"/>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R44"/>
  <sheetViews>
    <sheetView workbookViewId="0" topLeftCell="A1">
      <selection activeCell="A1" sqref="A1"/>
    </sheetView>
  </sheetViews>
  <sheetFormatPr defaultColWidth="11.421875" defaultRowHeight="15"/>
  <sheetData>
    <row r="1" spans="1:18" ht="13.5">
      <c r="A1" s="331"/>
      <c r="B1" s="331"/>
      <c r="C1" s="331"/>
      <c r="D1" s="331"/>
      <c r="E1" s="331"/>
      <c r="F1" s="331"/>
      <c r="G1" s="331"/>
      <c r="H1" s="331"/>
      <c r="I1" s="331"/>
      <c r="J1" s="331"/>
      <c r="K1" s="331"/>
      <c r="L1" s="331"/>
      <c r="M1" s="331"/>
      <c r="N1" s="331"/>
      <c r="O1" s="331"/>
      <c r="P1" s="331"/>
      <c r="Q1" s="331"/>
      <c r="R1" s="331"/>
    </row>
    <row r="2" spans="1:18" ht="13.5">
      <c r="A2" s="331"/>
      <c r="B2" s="331"/>
      <c r="C2" s="331"/>
      <c r="D2" s="331"/>
      <c r="E2" s="335"/>
      <c r="F2" s="829" t="s">
        <v>1245</v>
      </c>
      <c r="G2" s="830"/>
      <c r="H2" s="830"/>
      <c r="I2" s="830" t="s">
        <v>1246</v>
      </c>
      <c r="J2" s="830"/>
      <c r="K2" s="830"/>
      <c r="L2" s="830" t="s">
        <v>1247</v>
      </c>
      <c r="M2" s="830"/>
      <c r="N2" s="830"/>
      <c r="O2" s="830" t="s">
        <v>1248</v>
      </c>
      <c r="P2" s="830"/>
      <c r="Q2" s="830"/>
      <c r="R2" s="331"/>
    </row>
    <row r="3" spans="1:18" ht="13.5">
      <c r="A3" s="842" t="s">
        <v>1440</v>
      </c>
      <c r="B3" s="843"/>
      <c r="C3" s="843"/>
      <c r="D3" s="829"/>
      <c r="E3" s="396" t="s">
        <v>799</v>
      </c>
      <c r="F3" s="396" t="s">
        <v>1250</v>
      </c>
      <c r="G3" s="396" t="s">
        <v>1251</v>
      </c>
      <c r="H3" s="396" t="s">
        <v>1252</v>
      </c>
      <c r="I3" s="396" t="s">
        <v>1253</v>
      </c>
      <c r="J3" s="396" t="s">
        <v>1254</v>
      </c>
      <c r="K3" s="396" t="s">
        <v>1255</v>
      </c>
      <c r="L3" s="396" t="s">
        <v>1256</v>
      </c>
      <c r="M3" s="396" t="s">
        <v>1257</v>
      </c>
      <c r="N3" s="396" t="s">
        <v>1258</v>
      </c>
      <c r="O3" s="396" t="s">
        <v>1259</v>
      </c>
      <c r="P3" s="396" t="s">
        <v>1260</v>
      </c>
      <c r="Q3" s="396" t="s">
        <v>1261</v>
      </c>
      <c r="R3" s="448"/>
    </row>
    <row r="4" spans="1:18" ht="13.5">
      <c r="A4" s="644" t="s">
        <v>1441</v>
      </c>
      <c r="B4" s="644" t="s">
        <v>1352</v>
      </c>
      <c r="C4" s="644" t="s">
        <v>1262</v>
      </c>
      <c r="D4" s="393" t="s">
        <v>1442</v>
      </c>
      <c r="E4" s="524">
        <f>SUM(F4:Q4)</f>
        <v>50400</v>
      </c>
      <c r="F4" s="645">
        <v>0</v>
      </c>
      <c r="G4" s="645">
        <v>0</v>
      </c>
      <c r="H4" s="645">
        <v>0</v>
      </c>
      <c r="I4" s="645">
        <v>0</v>
      </c>
      <c r="J4" s="645">
        <v>0</v>
      </c>
      <c r="K4" s="645">
        <f>28800*0.5+24000+24000*0.5</f>
        <v>50400</v>
      </c>
      <c r="L4" s="645">
        <v>0</v>
      </c>
      <c r="M4" s="645">
        <v>0</v>
      </c>
      <c r="N4" s="645">
        <v>0</v>
      </c>
      <c r="O4" s="645">
        <v>0</v>
      </c>
      <c r="P4" s="645">
        <v>0</v>
      </c>
      <c r="Q4" s="645">
        <v>0</v>
      </c>
      <c r="R4" s="461" t="s">
        <v>1443</v>
      </c>
    </row>
    <row r="5" spans="1:18" ht="13.5">
      <c r="A5" s="644" t="s">
        <v>1441</v>
      </c>
      <c r="B5" s="644" t="s">
        <v>1352</v>
      </c>
      <c r="C5" s="644" t="s">
        <v>1289</v>
      </c>
      <c r="D5" s="394" t="s">
        <v>1444</v>
      </c>
      <c r="E5" s="352">
        <f>SUM(F5:Q5)</f>
        <v>40000</v>
      </c>
      <c r="F5" s="388">
        <f>2500*6-2500+1250*6</f>
        <v>20000</v>
      </c>
      <c r="G5" s="388">
        <v>0</v>
      </c>
      <c r="H5" s="388">
        <v>0</v>
      </c>
      <c r="I5" s="388">
        <v>0</v>
      </c>
      <c r="J5" s="388">
        <v>0</v>
      </c>
      <c r="K5" s="388">
        <v>0</v>
      </c>
      <c r="L5" s="388">
        <f>2500*6-2500+1250*6</f>
        <v>20000</v>
      </c>
      <c r="M5" s="388">
        <v>0</v>
      </c>
      <c r="N5" s="388">
        <v>0</v>
      </c>
      <c r="O5" s="388">
        <v>0</v>
      </c>
      <c r="P5" s="388">
        <v>0</v>
      </c>
      <c r="Q5" s="388">
        <v>0</v>
      </c>
      <c r="R5" s="355" t="s">
        <v>1445</v>
      </c>
    </row>
    <row r="6" spans="1:18" ht="13.5">
      <c r="A6" s="644" t="s">
        <v>1441</v>
      </c>
      <c r="B6" s="644" t="s">
        <v>1352</v>
      </c>
      <c r="C6" s="644" t="s">
        <v>524</v>
      </c>
      <c r="D6" s="394" t="s">
        <v>1446</v>
      </c>
      <c r="E6" s="352">
        <f>SUM(F6:Q6)</f>
        <v>20000</v>
      </c>
      <c r="F6" s="388">
        <v>6000</v>
      </c>
      <c r="G6" s="395">
        <v>0</v>
      </c>
      <c r="H6" s="388">
        <v>0</v>
      </c>
      <c r="I6" s="388">
        <v>0</v>
      </c>
      <c r="J6" s="388">
        <v>0</v>
      </c>
      <c r="K6" s="388">
        <f>16000/2+6000</f>
        <v>14000</v>
      </c>
      <c r="L6" s="388">
        <v>0</v>
      </c>
      <c r="M6" s="388">
        <v>0</v>
      </c>
      <c r="N6" s="388">
        <v>0</v>
      </c>
      <c r="O6" s="388">
        <v>0</v>
      </c>
      <c r="P6" s="388">
        <v>0</v>
      </c>
      <c r="Q6" s="388">
        <v>0</v>
      </c>
      <c r="R6" s="355"/>
    </row>
    <row r="7" spans="1:18" ht="13.5">
      <c r="A7" s="644" t="s">
        <v>1441</v>
      </c>
      <c r="B7" s="644" t="s">
        <v>1352</v>
      </c>
      <c r="C7" s="644" t="s">
        <v>526</v>
      </c>
      <c r="D7" s="394" t="s">
        <v>1446</v>
      </c>
      <c r="E7" s="352">
        <f>SUM(F7:Q7)</f>
        <v>13500</v>
      </c>
      <c r="F7" s="395">
        <v>0</v>
      </c>
      <c r="G7" s="395">
        <f>15000/2</f>
        <v>7500</v>
      </c>
      <c r="H7" s="395">
        <v>0</v>
      </c>
      <c r="I7" s="395">
        <v>0</v>
      </c>
      <c r="J7" s="395">
        <v>0</v>
      </c>
      <c r="K7" s="395">
        <f>12000/2</f>
        <v>6000</v>
      </c>
      <c r="L7" s="395">
        <v>0</v>
      </c>
      <c r="M7" s="395">
        <v>0</v>
      </c>
      <c r="N7" s="395">
        <v>0</v>
      </c>
      <c r="O7" s="395">
        <v>0</v>
      </c>
      <c r="P7" s="395">
        <v>0</v>
      </c>
      <c r="Q7" s="395">
        <v>0</v>
      </c>
      <c r="R7" s="355" t="s">
        <v>1447</v>
      </c>
    </row>
    <row r="8" spans="1:18" ht="13.5">
      <c r="A8" s="644" t="s">
        <v>1441</v>
      </c>
      <c r="B8" s="644" t="s">
        <v>1352</v>
      </c>
      <c r="C8" s="644" t="s">
        <v>1263</v>
      </c>
      <c r="D8" s="646" t="s">
        <v>1448</v>
      </c>
      <c r="E8" s="541">
        <f>SUM(F8:Q8)</f>
        <v>9000</v>
      </c>
      <c r="F8" s="647">
        <f>750*6</f>
        <v>4500</v>
      </c>
      <c r="G8" s="647">
        <v>0</v>
      </c>
      <c r="H8" s="647">
        <v>0</v>
      </c>
      <c r="I8" s="647">
        <v>0</v>
      </c>
      <c r="J8" s="647">
        <v>0</v>
      </c>
      <c r="K8" s="647">
        <v>0</v>
      </c>
      <c r="L8" s="647">
        <f>750*6</f>
        <v>4500</v>
      </c>
      <c r="M8" s="647">
        <v>0</v>
      </c>
      <c r="N8" s="647">
        <v>0</v>
      </c>
      <c r="O8" s="647">
        <v>0</v>
      </c>
      <c r="P8" s="647">
        <v>0</v>
      </c>
      <c r="Q8" s="647">
        <v>0</v>
      </c>
      <c r="R8" s="359"/>
    </row>
    <row r="9" spans="1:18" ht="13.5">
      <c r="A9" s="648" t="s">
        <v>1441</v>
      </c>
      <c r="B9" s="648" t="s">
        <v>1352</v>
      </c>
      <c r="C9" s="648" t="s">
        <v>1262</v>
      </c>
      <c r="D9" s="649" t="s">
        <v>1442</v>
      </c>
      <c r="E9" s="478">
        <f>SUM(E4:E8)</f>
        <v>132900</v>
      </c>
      <c r="F9" s="505">
        <f aca="true" t="shared" si="0" ref="F9:Q9">SUM(F4:F8)</f>
        <v>30500</v>
      </c>
      <c r="G9" s="505">
        <f t="shared" si="0"/>
        <v>7500</v>
      </c>
      <c r="H9" s="505">
        <f t="shared" si="0"/>
        <v>0</v>
      </c>
      <c r="I9" s="505">
        <f t="shared" si="0"/>
        <v>0</v>
      </c>
      <c r="J9" s="505">
        <f t="shared" si="0"/>
        <v>0</v>
      </c>
      <c r="K9" s="505">
        <f t="shared" si="0"/>
        <v>70400</v>
      </c>
      <c r="L9" s="505">
        <f t="shared" si="0"/>
        <v>24500</v>
      </c>
      <c r="M9" s="505">
        <f t="shared" si="0"/>
        <v>0</v>
      </c>
      <c r="N9" s="505">
        <f t="shared" si="0"/>
        <v>0</v>
      </c>
      <c r="O9" s="505">
        <f t="shared" si="0"/>
        <v>0</v>
      </c>
      <c r="P9" s="505">
        <f t="shared" si="0"/>
        <v>0</v>
      </c>
      <c r="Q9" s="505">
        <f t="shared" si="0"/>
        <v>0</v>
      </c>
      <c r="R9" s="474"/>
    </row>
    <row r="10" spans="1:18" ht="13.5">
      <c r="A10" s="644"/>
      <c r="B10" s="644"/>
      <c r="C10" s="644"/>
      <c r="D10" s="650"/>
      <c r="E10" s="482"/>
      <c r="F10" s="483"/>
      <c r="G10" s="483"/>
      <c r="H10" s="483"/>
      <c r="I10" s="483"/>
      <c r="J10" s="483"/>
      <c r="K10" s="483"/>
      <c r="L10" s="483"/>
      <c r="M10" s="483"/>
      <c r="N10" s="483"/>
      <c r="O10" s="483"/>
      <c r="P10" s="483"/>
      <c r="Q10" s="483"/>
      <c r="R10" s="651"/>
    </row>
    <row r="11" spans="1:18" ht="13.5">
      <c r="A11" s="644"/>
      <c r="B11" s="644"/>
      <c r="C11" s="644"/>
      <c r="D11" s="652"/>
      <c r="E11" s="653"/>
      <c r="F11" s="654"/>
      <c r="G11" s="654"/>
      <c r="H11" s="654"/>
      <c r="I11" s="654"/>
      <c r="J11" s="654"/>
      <c r="K11" s="654"/>
      <c r="L11" s="654"/>
      <c r="M11" s="654"/>
      <c r="N11" s="654"/>
      <c r="O11" s="654"/>
      <c r="P11" s="654"/>
      <c r="Q11" s="654"/>
      <c r="R11" s="651"/>
    </row>
    <row r="12" spans="1:18" ht="13.5">
      <c r="A12" s="842" t="s">
        <v>1449</v>
      </c>
      <c r="B12" s="843"/>
      <c r="C12" s="843"/>
      <c r="D12" s="829"/>
      <c r="E12" s="396" t="s">
        <v>799</v>
      </c>
      <c r="F12" s="396" t="s">
        <v>1250</v>
      </c>
      <c r="G12" s="396" t="s">
        <v>1251</v>
      </c>
      <c r="H12" s="396" t="s">
        <v>1252</v>
      </c>
      <c r="I12" s="396" t="s">
        <v>1253</v>
      </c>
      <c r="J12" s="396" t="s">
        <v>1254</v>
      </c>
      <c r="K12" s="396" t="s">
        <v>1255</v>
      </c>
      <c r="L12" s="396" t="s">
        <v>1256</v>
      </c>
      <c r="M12" s="396" t="s">
        <v>1257</v>
      </c>
      <c r="N12" s="396" t="s">
        <v>1258</v>
      </c>
      <c r="O12" s="396" t="s">
        <v>1259</v>
      </c>
      <c r="P12" s="396" t="s">
        <v>1260</v>
      </c>
      <c r="Q12" s="396" t="s">
        <v>1261</v>
      </c>
      <c r="R12" s="655"/>
    </row>
    <row r="13" spans="1:18" ht="99">
      <c r="A13" s="644" t="s">
        <v>1441</v>
      </c>
      <c r="B13" s="644" t="s">
        <v>1352</v>
      </c>
      <c r="C13" s="644" t="s">
        <v>1262</v>
      </c>
      <c r="D13" s="656" t="s">
        <v>1450</v>
      </c>
      <c r="E13" s="450">
        <f aca="true" t="shared" si="1" ref="E13:E31">SUM(F13:Q13)</f>
        <v>12000</v>
      </c>
      <c r="F13" s="341">
        <v>1000</v>
      </c>
      <c r="G13" s="341">
        <v>1000</v>
      </c>
      <c r="H13" s="341">
        <v>1000</v>
      </c>
      <c r="I13" s="341">
        <v>1000</v>
      </c>
      <c r="J13" s="341">
        <v>1000</v>
      </c>
      <c r="K13" s="341">
        <v>1000</v>
      </c>
      <c r="L13" s="341">
        <v>1000</v>
      </c>
      <c r="M13" s="341">
        <v>1000</v>
      </c>
      <c r="N13" s="341">
        <v>1000</v>
      </c>
      <c r="O13" s="341">
        <v>1000</v>
      </c>
      <c r="P13" s="341">
        <v>1000</v>
      </c>
      <c r="Q13" s="341">
        <v>1000</v>
      </c>
      <c r="R13" s="461" t="s">
        <v>1451</v>
      </c>
    </row>
    <row r="14" spans="1:18" ht="87.75">
      <c r="A14" s="644" t="s">
        <v>1441</v>
      </c>
      <c r="B14" s="644" t="s">
        <v>1352</v>
      </c>
      <c r="C14" s="644" t="s">
        <v>1289</v>
      </c>
      <c r="D14" s="657" t="s">
        <v>1452</v>
      </c>
      <c r="E14" s="453">
        <f>SUM(F14:Q14)</f>
        <v>4800</v>
      </c>
      <c r="F14" s="351">
        <v>400</v>
      </c>
      <c r="G14" s="351">
        <v>400</v>
      </c>
      <c r="H14" s="351">
        <v>400</v>
      </c>
      <c r="I14" s="351">
        <v>400</v>
      </c>
      <c r="J14" s="351">
        <v>400</v>
      </c>
      <c r="K14" s="351">
        <v>400</v>
      </c>
      <c r="L14" s="351">
        <v>400</v>
      </c>
      <c r="M14" s="351">
        <v>400</v>
      </c>
      <c r="N14" s="351">
        <v>400</v>
      </c>
      <c r="O14" s="351">
        <v>400</v>
      </c>
      <c r="P14" s="351">
        <v>400</v>
      </c>
      <c r="Q14" s="351">
        <v>400</v>
      </c>
      <c r="R14" s="355"/>
    </row>
    <row r="15" spans="1:18" ht="87.75">
      <c r="A15" s="644" t="s">
        <v>1441</v>
      </c>
      <c r="B15" s="644" t="s">
        <v>1352</v>
      </c>
      <c r="C15" s="644" t="s">
        <v>524</v>
      </c>
      <c r="D15" s="657" t="s">
        <v>1452</v>
      </c>
      <c r="E15" s="453">
        <f>SUM(F15:Q15)</f>
        <v>7200</v>
      </c>
      <c r="F15" s="351">
        <v>600</v>
      </c>
      <c r="G15" s="351">
        <v>600</v>
      </c>
      <c r="H15" s="351">
        <v>600</v>
      </c>
      <c r="I15" s="351">
        <v>600</v>
      </c>
      <c r="J15" s="351">
        <v>600</v>
      </c>
      <c r="K15" s="351">
        <v>600</v>
      </c>
      <c r="L15" s="351">
        <v>600</v>
      </c>
      <c r="M15" s="351">
        <v>600</v>
      </c>
      <c r="N15" s="351">
        <v>600</v>
      </c>
      <c r="O15" s="351">
        <v>600</v>
      </c>
      <c r="P15" s="351">
        <v>600</v>
      </c>
      <c r="Q15" s="351">
        <v>600</v>
      </c>
      <c r="R15" s="355" t="s">
        <v>1453</v>
      </c>
    </row>
    <row r="16" spans="1:18" ht="87.75">
      <c r="A16" s="644" t="s">
        <v>1441</v>
      </c>
      <c r="B16" s="644" t="s">
        <v>1352</v>
      </c>
      <c r="C16" s="644" t="s">
        <v>526</v>
      </c>
      <c r="D16" s="658" t="s">
        <v>1452</v>
      </c>
      <c r="E16" s="453">
        <f>SUM(F16:Q16)</f>
        <v>6000</v>
      </c>
      <c r="F16" s="351">
        <v>500</v>
      </c>
      <c r="G16" s="351">
        <v>500</v>
      </c>
      <c r="H16" s="351">
        <v>500</v>
      </c>
      <c r="I16" s="351">
        <v>500</v>
      </c>
      <c r="J16" s="351">
        <v>500</v>
      </c>
      <c r="K16" s="351">
        <v>500</v>
      </c>
      <c r="L16" s="351">
        <v>500</v>
      </c>
      <c r="M16" s="351">
        <v>500</v>
      </c>
      <c r="N16" s="351">
        <v>500</v>
      </c>
      <c r="O16" s="351">
        <v>500</v>
      </c>
      <c r="P16" s="351">
        <v>500</v>
      </c>
      <c r="Q16" s="351">
        <v>500</v>
      </c>
      <c r="R16" s="355" t="s">
        <v>1454</v>
      </c>
    </row>
    <row r="17" spans="1:18" ht="87.75">
      <c r="A17" s="644" t="s">
        <v>1441</v>
      </c>
      <c r="B17" s="644" t="s">
        <v>1352</v>
      </c>
      <c r="C17" s="644" t="s">
        <v>1263</v>
      </c>
      <c r="D17" s="659" t="s">
        <v>1452</v>
      </c>
      <c r="E17" s="456">
        <f>SUM(F17:Q17)</f>
        <v>4000</v>
      </c>
      <c r="F17" s="457">
        <v>500</v>
      </c>
      <c r="G17" s="457">
        <v>250</v>
      </c>
      <c r="H17" s="457">
        <v>250</v>
      </c>
      <c r="I17" s="457">
        <v>500</v>
      </c>
      <c r="J17" s="457">
        <v>250</v>
      </c>
      <c r="K17" s="457">
        <v>250</v>
      </c>
      <c r="L17" s="457">
        <v>500</v>
      </c>
      <c r="M17" s="457">
        <v>250</v>
      </c>
      <c r="N17" s="457">
        <v>250</v>
      </c>
      <c r="O17" s="457">
        <v>500</v>
      </c>
      <c r="P17" s="457">
        <v>250</v>
      </c>
      <c r="Q17" s="457">
        <v>250</v>
      </c>
      <c r="R17" s="359"/>
    </row>
    <row r="18" spans="1:18" ht="13.5">
      <c r="A18" s="660"/>
      <c r="B18" s="660"/>
      <c r="C18" s="660"/>
      <c r="D18" s="661"/>
      <c r="E18" s="662"/>
      <c r="F18" s="663"/>
      <c r="G18" s="663"/>
      <c r="H18" s="663"/>
      <c r="I18" s="663"/>
      <c r="J18" s="663"/>
      <c r="K18" s="663"/>
      <c r="L18" s="663"/>
      <c r="M18" s="663"/>
      <c r="N18" s="663"/>
      <c r="O18" s="663"/>
      <c r="P18" s="663"/>
      <c r="Q18" s="663"/>
      <c r="R18" s="664"/>
    </row>
    <row r="19" spans="1:18" ht="13.5">
      <c r="A19" s="665"/>
      <c r="B19" s="665"/>
      <c r="C19" s="665"/>
      <c r="D19" s="666"/>
      <c r="E19" s="667"/>
      <c r="F19" s="668"/>
      <c r="G19" s="668"/>
      <c r="H19" s="668"/>
      <c r="I19" s="668"/>
      <c r="J19" s="668"/>
      <c r="K19" s="668"/>
      <c r="L19" s="668"/>
      <c r="M19" s="668"/>
      <c r="N19" s="668"/>
      <c r="O19" s="668"/>
      <c r="P19" s="668"/>
      <c r="Q19" s="668"/>
      <c r="R19" s="669"/>
    </row>
    <row r="20" spans="1:18" ht="13.5">
      <c r="A20" s="839" t="s">
        <v>1455</v>
      </c>
      <c r="B20" s="840"/>
      <c r="C20" s="840"/>
      <c r="D20" s="841"/>
      <c r="E20" s="670" t="s">
        <v>799</v>
      </c>
      <c r="F20" s="670" t="s">
        <v>1250</v>
      </c>
      <c r="G20" s="670" t="s">
        <v>1251</v>
      </c>
      <c r="H20" s="670" t="s">
        <v>1252</v>
      </c>
      <c r="I20" s="670" t="s">
        <v>1253</v>
      </c>
      <c r="J20" s="670" t="s">
        <v>1254</v>
      </c>
      <c r="K20" s="670" t="s">
        <v>1255</v>
      </c>
      <c r="L20" s="670" t="s">
        <v>1256</v>
      </c>
      <c r="M20" s="670" t="s">
        <v>1257</v>
      </c>
      <c r="N20" s="670" t="s">
        <v>1258</v>
      </c>
      <c r="O20" s="670" t="s">
        <v>1259</v>
      </c>
      <c r="P20" s="670" t="s">
        <v>1260</v>
      </c>
      <c r="Q20" s="670" t="s">
        <v>1261</v>
      </c>
      <c r="R20" s="448"/>
    </row>
    <row r="21" spans="1:18" ht="109.5">
      <c r="A21" s="644" t="s">
        <v>1441</v>
      </c>
      <c r="B21" s="644" t="s">
        <v>1352</v>
      </c>
      <c r="C21" s="644" t="s">
        <v>1262</v>
      </c>
      <c r="D21" s="671" t="s">
        <v>1456</v>
      </c>
      <c r="E21" s="450">
        <f t="shared" si="1"/>
        <v>9600</v>
      </c>
      <c r="F21" s="341">
        <v>800</v>
      </c>
      <c r="G21" s="341">
        <v>800</v>
      </c>
      <c r="H21" s="341">
        <v>800</v>
      </c>
      <c r="I21" s="341">
        <v>800</v>
      </c>
      <c r="J21" s="341">
        <v>800</v>
      </c>
      <c r="K21" s="341">
        <v>800</v>
      </c>
      <c r="L21" s="341">
        <v>800</v>
      </c>
      <c r="M21" s="341">
        <v>800</v>
      </c>
      <c r="N21" s="341">
        <v>800</v>
      </c>
      <c r="O21" s="341">
        <v>800</v>
      </c>
      <c r="P21" s="341">
        <v>800</v>
      </c>
      <c r="Q21" s="341">
        <v>800</v>
      </c>
      <c r="R21" s="672" t="s">
        <v>1457</v>
      </c>
    </row>
    <row r="22" spans="1:18" ht="13.5">
      <c r="A22" s="644" t="s">
        <v>1441</v>
      </c>
      <c r="B22" s="644" t="s">
        <v>1352</v>
      </c>
      <c r="C22" s="644" t="s">
        <v>1262</v>
      </c>
      <c r="D22" s="387" t="s">
        <v>1458</v>
      </c>
      <c r="E22" s="453">
        <f t="shared" si="1"/>
        <v>3000</v>
      </c>
      <c r="F22" s="351">
        <v>250</v>
      </c>
      <c r="G22" s="351">
        <v>250</v>
      </c>
      <c r="H22" s="351">
        <v>250</v>
      </c>
      <c r="I22" s="351">
        <v>250</v>
      </c>
      <c r="J22" s="351">
        <v>250</v>
      </c>
      <c r="K22" s="351">
        <v>250</v>
      </c>
      <c r="L22" s="351">
        <v>250</v>
      </c>
      <c r="M22" s="351">
        <v>250</v>
      </c>
      <c r="N22" s="351">
        <v>250</v>
      </c>
      <c r="O22" s="351">
        <v>250</v>
      </c>
      <c r="P22" s="351">
        <v>250</v>
      </c>
      <c r="Q22" s="351">
        <v>250</v>
      </c>
      <c r="R22" s="463" t="s">
        <v>1459</v>
      </c>
    </row>
    <row r="23" spans="1:18" ht="13.5">
      <c r="A23" s="644" t="s">
        <v>1441</v>
      </c>
      <c r="B23" s="644" t="s">
        <v>1352</v>
      </c>
      <c r="C23" s="644" t="s">
        <v>1262</v>
      </c>
      <c r="D23" s="673" t="s">
        <v>1460</v>
      </c>
      <c r="E23" s="453">
        <f t="shared" si="1"/>
        <v>7500</v>
      </c>
      <c r="F23" s="457">
        <v>0</v>
      </c>
      <c r="G23" s="457">
        <v>0</v>
      </c>
      <c r="H23" s="457">
        <v>0</v>
      </c>
      <c r="I23" s="457">
        <v>0</v>
      </c>
      <c r="J23" s="457">
        <v>0</v>
      </c>
      <c r="K23" s="457">
        <v>0</v>
      </c>
      <c r="L23" s="457">
        <v>0</v>
      </c>
      <c r="M23" s="457">
        <v>7500</v>
      </c>
      <c r="N23" s="457">
        <v>0</v>
      </c>
      <c r="O23" s="457">
        <v>0</v>
      </c>
      <c r="P23" s="457">
        <v>0</v>
      </c>
      <c r="Q23" s="457">
        <v>0</v>
      </c>
      <c r="R23" s="674" t="s">
        <v>1461</v>
      </c>
    </row>
    <row r="24" spans="1:18" ht="13.5">
      <c r="A24" s="665" t="s">
        <v>1441</v>
      </c>
      <c r="B24" s="665" t="s">
        <v>1352</v>
      </c>
      <c r="C24" s="665" t="s">
        <v>1462</v>
      </c>
      <c r="D24" s="675" t="s">
        <v>103</v>
      </c>
      <c r="E24" s="467">
        <f t="shared" si="1"/>
        <v>7500</v>
      </c>
      <c r="F24" s="468">
        <v>0</v>
      </c>
      <c r="G24" s="468">
        <v>0</v>
      </c>
      <c r="H24" s="468">
        <v>0</v>
      </c>
      <c r="I24" s="468">
        <v>0</v>
      </c>
      <c r="J24" s="468">
        <v>0</v>
      </c>
      <c r="K24" s="468">
        <v>7500</v>
      </c>
      <c r="L24" s="468">
        <v>0</v>
      </c>
      <c r="M24" s="468">
        <v>0</v>
      </c>
      <c r="N24" s="468">
        <v>0</v>
      </c>
      <c r="O24" s="468">
        <v>0</v>
      </c>
      <c r="P24" s="468">
        <v>0</v>
      </c>
      <c r="Q24" s="468">
        <v>0</v>
      </c>
      <c r="R24" s="676"/>
    </row>
    <row r="25" spans="1:18" ht="13.5">
      <c r="A25" s="331"/>
      <c r="B25" s="331"/>
      <c r="C25" s="331"/>
      <c r="D25" s="331"/>
      <c r="E25" s="331"/>
      <c r="F25" s="331"/>
      <c r="G25" s="331"/>
      <c r="H25" s="331"/>
      <c r="I25" s="331"/>
      <c r="J25" s="331"/>
      <c r="K25" s="331"/>
      <c r="L25" s="331"/>
      <c r="M25" s="331"/>
      <c r="N25" s="331"/>
      <c r="O25" s="331"/>
      <c r="P25" s="331"/>
      <c r="Q25" s="331"/>
      <c r="R25" s="331"/>
    </row>
    <row r="26" spans="1:18" ht="13.5">
      <c r="A26" s="331"/>
      <c r="B26" s="331"/>
      <c r="C26" s="331"/>
      <c r="D26" s="331"/>
      <c r="E26" s="331"/>
      <c r="F26" s="331"/>
      <c r="G26" s="331"/>
      <c r="H26" s="331"/>
      <c r="I26" s="331"/>
      <c r="J26" s="331"/>
      <c r="K26" s="331"/>
      <c r="L26" s="331"/>
      <c r="M26" s="331"/>
      <c r="N26" s="331"/>
      <c r="O26" s="331"/>
      <c r="P26" s="331"/>
      <c r="Q26" s="331"/>
      <c r="R26" s="331"/>
    </row>
    <row r="27" spans="1:18" ht="13.5">
      <c r="A27" s="842" t="s">
        <v>1463</v>
      </c>
      <c r="B27" s="843"/>
      <c r="C27" s="843"/>
      <c r="D27" s="829"/>
      <c r="E27" s="396" t="s">
        <v>799</v>
      </c>
      <c r="F27" s="396" t="s">
        <v>1250</v>
      </c>
      <c r="G27" s="396" t="s">
        <v>1251</v>
      </c>
      <c r="H27" s="396" t="s">
        <v>1252</v>
      </c>
      <c r="I27" s="396" t="s">
        <v>1253</v>
      </c>
      <c r="J27" s="396" t="s">
        <v>1254</v>
      </c>
      <c r="K27" s="396" t="s">
        <v>1255</v>
      </c>
      <c r="L27" s="396" t="s">
        <v>1256</v>
      </c>
      <c r="M27" s="396" t="s">
        <v>1257</v>
      </c>
      <c r="N27" s="396" t="s">
        <v>1258</v>
      </c>
      <c r="O27" s="396" t="s">
        <v>1259</v>
      </c>
      <c r="P27" s="396" t="s">
        <v>1260</v>
      </c>
      <c r="Q27" s="396" t="s">
        <v>1261</v>
      </c>
      <c r="R27" s="677"/>
    </row>
    <row r="28" spans="1:18" ht="13.5">
      <c r="A28" s="678" t="s">
        <v>1441</v>
      </c>
      <c r="B28" s="678" t="s">
        <v>1352</v>
      </c>
      <c r="C28" s="389" t="s">
        <v>522</v>
      </c>
      <c r="D28" s="512" t="s">
        <v>1464</v>
      </c>
      <c r="E28" s="679">
        <f t="shared" si="1"/>
        <v>6000</v>
      </c>
      <c r="F28" s="512">
        <v>500</v>
      </c>
      <c r="G28" s="512">
        <v>500</v>
      </c>
      <c r="H28" s="512">
        <v>500</v>
      </c>
      <c r="I28" s="512">
        <v>500</v>
      </c>
      <c r="J28" s="512">
        <v>500</v>
      </c>
      <c r="K28" s="512">
        <v>500</v>
      </c>
      <c r="L28" s="512">
        <v>500</v>
      </c>
      <c r="M28" s="512">
        <v>500</v>
      </c>
      <c r="N28" s="512">
        <v>500</v>
      </c>
      <c r="O28" s="512">
        <v>500</v>
      </c>
      <c r="P28" s="512">
        <v>500</v>
      </c>
      <c r="Q28" s="512">
        <v>500</v>
      </c>
      <c r="R28" s="680" t="s">
        <v>1465</v>
      </c>
    </row>
    <row r="29" spans="1:18" ht="13.5">
      <c r="A29" s="678" t="s">
        <v>1441</v>
      </c>
      <c r="B29" s="678" t="s">
        <v>1352</v>
      </c>
      <c r="C29" s="389" t="s">
        <v>524</v>
      </c>
      <c r="D29" s="365" t="s">
        <v>1464</v>
      </c>
      <c r="E29" s="453">
        <f t="shared" si="1"/>
        <v>3000</v>
      </c>
      <c r="F29" s="365">
        <v>250</v>
      </c>
      <c r="G29" s="365">
        <v>250</v>
      </c>
      <c r="H29" s="365">
        <v>250</v>
      </c>
      <c r="I29" s="365">
        <v>250</v>
      </c>
      <c r="J29" s="365">
        <v>250</v>
      </c>
      <c r="K29" s="365">
        <v>250</v>
      </c>
      <c r="L29" s="365">
        <v>250</v>
      </c>
      <c r="M29" s="365">
        <v>250</v>
      </c>
      <c r="N29" s="365">
        <v>250</v>
      </c>
      <c r="O29" s="365">
        <v>250</v>
      </c>
      <c r="P29" s="365">
        <v>250</v>
      </c>
      <c r="Q29" s="365">
        <v>250</v>
      </c>
      <c r="R29" s="363" t="s">
        <v>1465</v>
      </c>
    </row>
    <row r="30" spans="1:18" ht="13.5">
      <c r="A30" s="678" t="s">
        <v>1441</v>
      </c>
      <c r="B30" s="678" t="s">
        <v>1352</v>
      </c>
      <c r="C30" s="389" t="s">
        <v>526</v>
      </c>
      <c r="D30" s="365" t="s">
        <v>1464</v>
      </c>
      <c r="E30" s="456">
        <f t="shared" si="1"/>
        <v>3000</v>
      </c>
      <c r="F30" s="365">
        <v>250</v>
      </c>
      <c r="G30" s="365">
        <v>250</v>
      </c>
      <c r="H30" s="365">
        <v>250</v>
      </c>
      <c r="I30" s="365">
        <v>250</v>
      </c>
      <c r="J30" s="365">
        <v>250</v>
      </c>
      <c r="K30" s="365">
        <v>250</v>
      </c>
      <c r="L30" s="365">
        <v>250</v>
      </c>
      <c r="M30" s="365">
        <v>250</v>
      </c>
      <c r="N30" s="365">
        <v>250</v>
      </c>
      <c r="O30" s="365">
        <v>250</v>
      </c>
      <c r="P30" s="365">
        <v>250</v>
      </c>
      <c r="Q30" s="365">
        <v>250</v>
      </c>
      <c r="R30" s="363" t="s">
        <v>1465</v>
      </c>
    </row>
    <row r="31" spans="1:18" ht="13.5">
      <c r="A31" s="681" t="s">
        <v>1441</v>
      </c>
      <c r="B31" s="681" t="s">
        <v>1352</v>
      </c>
      <c r="C31" s="682" t="s">
        <v>1263</v>
      </c>
      <c r="D31" s="390" t="s">
        <v>1464</v>
      </c>
      <c r="E31" s="467">
        <f t="shared" si="1"/>
        <v>3000</v>
      </c>
      <c r="F31" s="390">
        <v>250</v>
      </c>
      <c r="G31" s="390">
        <v>250</v>
      </c>
      <c r="H31" s="390">
        <v>250</v>
      </c>
      <c r="I31" s="390">
        <v>250</v>
      </c>
      <c r="J31" s="390">
        <v>250</v>
      </c>
      <c r="K31" s="390">
        <v>250</v>
      </c>
      <c r="L31" s="390">
        <v>250</v>
      </c>
      <c r="M31" s="390">
        <v>250</v>
      </c>
      <c r="N31" s="390">
        <v>250</v>
      </c>
      <c r="O31" s="390">
        <v>250</v>
      </c>
      <c r="P31" s="390">
        <v>250</v>
      </c>
      <c r="Q31" s="390">
        <v>250</v>
      </c>
      <c r="R31" s="683" t="s">
        <v>1465</v>
      </c>
    </row>
    <row r="32" spans="1:18" ht="13.5">
      <c r="A32" s="331"/>
      <c r="B32" s="331"/>
      <c r="C32" s="331"/>
      <c r="D32" s="684"/>
      <c r="E32" s="331"/>
      <c r="F32" s="331"/>
      <c r="G32" s="331"/>
      <c r="H32" s="331"/>
      <c r="I32" s="331"/>
      <c r="J32" s="331"/>
      <c r="K32" s="331"/>
      <c r="L32" s="331"/>
      <c r="M32" s="331"/>
      <c r="N32" s="331"/>
      <c r="O32" s="331"/>
      <c r="P32" s="331"/>
      <c r="Q32" s="331"/>
      <c r="R32" s="331"/>
    </row>
    <row r="33" spans="1:18" ht="13.5">
      <c r="A33" s="331"/>
      <c r="B33" s="331"/>
      <c r="C33" s="331"/>
      <c r="D33" s="331"/>
      <c r="E33" s="331"/>
      <c r="F33" s="331"/>
      <c r="G33" s="331"/>
      <c r="H33" s="331"/>
      <c r="I33" s="331"/>
      <c r="J33" s="331"/>
      <c r="K33" s="331"/>
      <c r="L33" s="331"/>
      <c r="M33" s="331"/>
      <c r="N33" s="331"/>
      <c r="O33" s="331"/>
      <c r="P33" s="331"/>
      <c r="Q33" s="331"/>
      <c r="R33" s="331"/>
    </row>
    <row r="34" spans="1:18" ht="13.5">
      <c r="A34" s="331"/>
      <c r="B34" s="331"/>
      <c r="C34" s="331"/>
      <c r="D34" s="331"/>
      <c r="E34" s="331"/>
      <c r="F34" s="331"/>
      <c r="G34" s="331"/>
      <c r="H34" s="331"/>
      <c r="I34" s="331"/>
      <c r="J34" s="331"/>
      <c r="K34" s="331"/>
      <c r="L34" s="331"/>
      <c r="M34" s="331"/>
      <c r="N34" s="331"/>
      <c r="O34" s="331"/>
      <c r="P34" s="331"/>
      <c r="Q34" s="331"/>
      <c r="R34" s="331"/>
    </row>
    <row r="35" spans="1:18" ht="13.5">
      <c r="A35" s="331"/>
      <c r="B35" s="331"/>
      <c r="C35" s="331"/>
      <c r="D35" s="331"/>
      <c r="E35" s="331"/>
      <c r="F35" s="331"/>
      <c r="G35" s="331"/>
      <c r="H35" s="331"/>
      <c r="I35" s="331"/>
      <c r="J35" s="331"/>
      <c r="K35" s="331"/>
      <c r="L35" s="331"/>
      <c r="M35" s="331"/>
      <c r="N35" s="331"/>
      <c r="O35" s="331"/>
      <c r="P35" s="331"/>
      <c r="Q35" s="331"/>
      <c r="R35" s="331"/>
    </row>
    <row r="36" spans="1:18" ht="13.5">
      <c r="A36" s="331"/>
      <c r="B36" s="331"/>
      <c r="C36" s="331"/>
      <c r="D36" s="331"/>
      <c r="E36" s="331"/>
      <c r="F36" s="331"/>
      <c r="G36" s="331"/>
      <c r="H36" s="331"/>
      <c r="I36" s="331"/>
      <c r="J36" s="331"/>
      <c r="K36" s="331"/>
      <c r="L36" s="331"/>
      <c r="M36" s="331"/>
      <c r="N36" s="331"/>
      <c r="O36" s="331"/>
      <c r="P36" s="331"/>
      <c r="Q36" s="331"/>
      <c r="R36" s="331"/>
    </row>
    <row r="37" spans="1:18" ht="13.5">
      <c r="A37" s="331"/>
      <c r="B37" s="331"/>
      <c r="C37" s="331"/>
      <c r="D37" s="331"/>
      <c r="E37" s="331"/>
      <c r="F37" s="331"/>
      <c r="G37" s="331"/>
      <c r="H37" s="331"/>
      <c r="I37" s="331"/>
      <c r="J37" s="331"/>
      <c r="K37" s="331"/>
      <c r="L37" s="331"/>
      <c r="M37" s="331"/>
      <c r="N37" s="331"/>
      <c r="O37" s="331"/>
      <c r="P37" s="331"/>
      <c r="Q37" s="331"/>
      <c r="R37" s="331"/>
    </row>
    <row r="38" spans="1:18" ht="13.5">
      <c r="A38" s="331"/>
      <c r="B38" s="331"/>
      <c r="C38" s="331"/>
      <c r="D38" s="331"/>
      <c r="E38" s="331"/>
      <c r="F38" s="331"/>
      <c r="G38" s="331"/>
      <c r="H38" s="331"/>
      <c r="I38" s="331"/>
      <c r="J38" s="331"/>
      <c r="K38" s="331"/>
      <c r="L38" s="331"/>
      <c r="M38" s="331"/>
      <c r="N38" s="331"/>
      <c r="O38" s="331"/>
      <c r="P38" s="331"/>
      <c r="Q38" s="331"/>
      <c r="R38" s="331"/>
    </row>
    <row r="39" spans="1:18" ht="13.5">
      <c r="A39" s="331"/>
      <c r="B39" s="331"/>
      <c r="C39" s="331"/>
      <c r="D39" s="331"/>
      <c r="E39" s="331"/>
      <c r="F39" s="331"/>
      <c r="G39" s="331"/>
      <c r="H39" s="331"/>
      <c r="I39" s="331"/>
      <c r="J39" s="331"/>
      <c r="K39" s="331"/>
      <c r="L39" s="331"/>
      <c r="M39" s="331"/>
      <c r="N39" s="331"/>
      <c r="O39" s="331"/>
      <c r="P39" s="331"/>
      <c r="Q39" s="331"/>
      <c r="R39" s="331"/>
    </row>
    <row r="40" spans="1:18" ht="13.5">
      <c r="A40" s="331"/>
      <c r="B40" s="331"/>
      <c r="C40" s="331"/>
      <c r="D40" s="331"/>
      <c r="E40" s="331"/>
      <c r="F40" s="331"/>
      <c r="G40" s="331"/>
      <c r="H40" s="331"/>
      <c r="I40" s="331"/>
      <c r="J40" s="331"/>
      <c r="K40" s="331"/>
      <c r="L40" s="331"/>
      <c r="M40" s="331"/>
      <c r="N40" s="331"/>
      <c r="O40" s="331"/>
      <c r="P40" s="331"/>
      <c r="Q40" s="331"/>
      <c r="R40" s="331"/>
    </row>
    <row r="41" spans="1:18" ht="13.5">
      <c r="A41" s="331"/>
      <c r="B41" s="331"/>
      <c r="C41" s="331"/>
      <c r="D41" s="331"/>
      <c r="E41" s="331"/>
      <c r="F41" s="331"/>
      <c r="G41" s="331"/>
      <c r="H41" s="331"/>
      <c r="I41" s="331"/>
      <c r="J41" s="331"/>
      <c r="K41" s="331"/>
      <c r="L41" s="331"/>
      <c r="M41" s="331"/>
      <c r="N41" s="331"/>
      <c r="O41" s="331"/>
      <c r="P41" s="331"/>
      <c r="Q41" s="331"/>
      <c r="R41" s="331"/>
    </row>
    <row r="42" spans="1:18" ht="13.5">
      <c r="A42" s="331"/>
      <c r="B42" s="331"/>
      <c r="C42" s="331"/>
      <c r="D42" s="331"/>
      <c r="E42" s="331"/>
      <c r="F42" s="331"/>
      <c r="G42" s="331"/>
      <c r="H42" s="331"/>
      <c r="I42" s="331"/>
      <c r="J42" s="331"/>
      <c r="K42" s="331"/>
      <c r="L42" s="331"/>
      <c r="M42" s="331"/>
      <c r="N42" s="331"/>
      <c r="O42" s="331"/>
      <c r="P42" s="331"/>
      <c r="Q42" s="331"/>
      <c r="R42" s="331"/>
    </row>
    <row r="43" spans="1:18" ht="13.5">
      <c r="A43" s="331"/>
      <c r="B43" s="331"/>
      <c r="C43" s="331"/>
      <c r="D43" s="331"/>
      <c r="E43" s="331"/>
      <c r="F43" s="331"/>
      <c r="G43" s="331"/>
      <c r="H43" s="331"/>
      <c r="I43" s="331"/>
      <c r="J43" s="331"/>
      <c r="K43" s="331"/>
      <c r="L43" s="331"/>
      <c r="M43" s="331"/>
      <c r="N43" s="331"/>
      <c r="O43" s="331"/>
      <c r="P43" s="331"/>
      <c r="Q43" s="331"/>
      <c r="R43" s="331"/>
    </row>
    <row r="44" spans="1:18" ht="13.5">
      <c r="A44" s="331"/>
      <c r="B44" s="331"/>
      <c r="C44" s="331"/>
      <c r="D44" s="331"/>
      <c r="E44" s="331"/>
      <c r="F44" s="331"/>
      <c r="G44" s="331"/>
      <c r="H44" s="331"/>
      <c r="I44" s="331"/>
      <c r="J44" s="331"/>
      <c r="K44" s="331"/>
      <c r="L44" s="331"/>
      <c r="M44" s="331"/>
      <c r="N44" s="331"/>
      <c r="O44" s="331"/>
      <c r="P44" s="331"/>
      <c r="Q44" s="331"/>
      <c r="R44" s="331"/>
    </row>
  </sheetData>
  <sheetProtection/>
  <mergeCells count="8">
    <mergeCell ref="A20:D20"/>
    <mergeCell ref="A27:D27"/>
    <mergeCell ref="F2:H2"/>
    <mergeCell ref="I2:K2"/>
    <mergeCell ref="L2:N2"/>
    <mergeCell ref="O2:Q2"/>
    <mergeCell ref="A3:D3"/>
    <mergeCell ref="A12:D12"/>
  </mergeCell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R16"/>
  <sheetViews>
    <sheetView tabSelected="1" workbookViewId="0" topLeftCell="A1">
      <selection activeCell="A1" sqref="A1"/>
    </sheetView>
  </sheetViews>
  <sheetFormatPr defaultColWidth="11.42187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34" t="s">
        <v>1245</v>
      </c>
      <c r="G2" s="835"/>
      <c r="H2" s="835"/>
      <c r="I2" s="835" t="s">
        <v>1246</v>
      </c>
      <c r="J2" s="835"/>
      <c r="K2" s="835"/>
      <c r="L2" s="835" t="s">
        <v>1247</v>
      </c>
      <c r="M2" s="835"/>
      <c r="N2" s="835"/>
      <c r="O2" s="835" t="s">
        <v>1248</v>
      </c>
      <c r="P2" s="835"/>
      <c r="Q2" s="835"/>
      <c r="R2" s="564"/>
    </row>
    <row r="3" spans="1:18" ht="13.5">
      <c r="A3" s="831"/>
      <c r="B3" s="832"/>
      <c r="C3" s="832"/>
      <c r="D3" s="834"/>
      <c r="E3" s="548" t="s">
        <v>799</v>
      </c>
      <c r="F3" s="548" t="s">
        <v>1250</v>
      </c>
      <c r="G3" s="548" t="s">
        <v>1251</v>
      </c>
      <c r="H3" s="548" t="s">
        <v>1252</v>
      </c>
      <c r="I3" s="548" t="s">
        <v>1253</v>
      </c>
      <c r="J3" s="548" t="s">
        <v>1254</v>
      </c>
      <c r="K3" s="548" t="s">
        <v>1255</v>
      </c>
      <c r="L3" s="548" t="s">
        <v>1256</v>
      </c>
      <c r="M3" s="548" t="s">
        <v>1257</v>
      </c>
      <c r="N3" s="548" t="s">
        <v>1258</v>
      </c>
      <c r="O3" s="548" t="s">
        <v>1259</v>
      </c>
      <c r="P3" s="548" t="s">
        <v>1260</v>
      </c>
      <c r="Q3" s="548" t="s">
        <v>1261</v>
      </c>
      <c r="R3" s="549"/>
    </row>
    <row r="4" spans="1:18" ht="13.5">
      <c r="A4" s="635" t="s">
        <v>1312</v>
      </c>
      <c r="B4" s="459" t="s">
        <v>546</v>
      </c>
      <c r="C4" s="459" t="s">
        <v>522</v>
      </c>
      <c r="D4" s="636" t="s">
        <v>1313</v>
      </c>
      <c r="E4" s="606">
        <f aca="true" t="shared" si="0" ref="E4:E11">SUM(F4:Q4)</f>
        <v>1500</v>
      </c>
      <c r="F4" s="568">
        <v>0</v>
      </c>
      <c r="G4" s="568">
        <f>'[3]MDA'!G5</f>
        <v>1500</v>
      </c>
      <c r="H4" s="568">
        <v>0</v>
      </c>
      <c r="I4" s="568">
        <v>0</v>
      </c>
      <c r="J4" s="568">
        <v>0</v>
      </c>
      <c r="K4" s="568">
        <v>0</v>
      </c>
      <c r="L4" s="568">
        <v>0</v>
      </c>
      <c r="M4" s="568">
        <v>0</v>
      </c>
      <c r="N4" s="568">
        <v>0</v>
      </c>
      <c r="O4" s="568">
        <v>0</v>
      </c>
      <c r="P4" s="568">
        <v>0</v>
      </c>
      <c r="Q4" s="568">
        <v>0</v>
      </c>
      <c r="R4" s="554" t="s">
        <v>1436</v>
      </c>
    </row>
    <row r="5" spans="1:18" ht="13.5">
      <c r="A5" s="300" t="s">
        <v>1312</v>
      </c>
      <c r="B5" s="300" t="s">
        <v>546</v>
      </c>
      <c r="C5" s="300" t="s">
        <v>524</v>
      </c>
      <c r="D5" s="637" t="s">
        <v>1313</v>
      </c>
      <c r="E5" s="608">
        <f t="shared" si="0"/>
        <v>4500</v>
      </c>
      <c r="F5" s="571">
        <v>0</v>
      </c>
      <c r="G5" s="571">
        <v>0</v>
      </c>
      <c r="H5" s="571">
        <f>'[3]MDA'!G21</f>
        <v>1500</v>
      </c>
      <c r="I5" s="571">
        <v>0</v>
      </c>
      <c r="J5" s="571">
        <f>'[3]MDA'!G21</f>
        <v>1500</v>
      </c>
      <c r="K5" s="571">
        <v>0</v>
      </c>
      <c r="L5" s="571">
        <v>0</v>
      </c>
      <c r="M5" s="571">
        <v>0</v>
      </c>
      <c r="N5" s="571">
        <v>0</v>
      </c>
      <c r="O5" s="571">
        <v>0</v>
      </c>
      <c r="P5" s="571">
        <f>'[3]MDA'!G21</f>
        <v>1500</v>
      </c>
      <c r="Q5" s="571">
        <v>0</v>
      </c>
      <c r="R5" s="559" t="s">
        <v>1436</v>
      </c>
    </row>
    <row r="6" spans="1:18" ht="13.5">
      <c r="A6" s="300" t="s">
        <v>1312</v>
      </c>
      <c r="B6" s="300" t="s">
        <v>546</v>
      </c>
      <c r="C6" s="300" t="s">
        <v>526</v>
      </c>
      <c r="D6" s="637" t="s">
        <v>1313</v>
      </c>
      <c r="E6" s="608">
        <f t="shared" si="0"/>
        <v>1500</v>
      </c>
      <c r="F6" s="571">
        <v>0</v>
      </c>
      <c r="G6" s="571">
        <v>0</v>
      </c>
      <c r="H6" s="571">
        <v>0</v>
      </c>
      <c r="I6" s="571">
        <v>0</v>
      </c>
      <c r="J6" s="571">
        <f>'[3]MDA'!O38</f>
        <v>1500</v>
      </c>
      <c r="K6" s="571">
        <v>0</v>
      </c>
      <c r="L6" s="571">
        <v>0</v>
      </c>
      <c r="M6" s="571">
        <v>0</v>
      </c>
      <c r="N6" s="571">
        <v>0</v>
      </c>
      <c r="O6" s="571">
        <v>0</v>
      </c>
      <c r="P6" s="571">
        <v>0</v>
      </c>
      <c r="Q6" s="571">
        <v>0</v>
      </c>
      <c r="R6" s="559" t="s">
        <v>1436</v>
      </c>
    </row>
    <row r="7" spans="1:18" ht="13.5">
      <c r="A7" s="300" t="s">
        <v>1312</v>
      </c>
      <c r="B7" s="300" t="s">
        <v>546</v>
      </c>
      <c r="C7" s="300" t="s">
        <v>1263</v>
      </c>
      <c r="D7" s="637" t="s">
        <v>1313</v>
      </c>
      <c r="E7" s="608">
        <f t="shared" si="0"/>
        <v>1500</v>
      </c>
      <c r="F7" s="571">
        <v>0</v>
      </c>
      <c r="G7" s="571">
        <v>0</v>
      </c>
      <c r="H7" s="571">
        <v>0</v>
      </c>
      <c r="I7" s="571">
        <f>'[3]MDA'!O5</f>
        <v>1500</v>
      </c>
      <c r="J7" s="571">
        <v>0</v>
      </c>
      <c r="K7" s="571">
        <v>0</v>
      </c>
      <c r="L7" s="571">
        <v>0</v>
      </c>
      <c r="M7" s="571">
        <v>0</v>
      </c>
      <c r="N7" s="571">
        <v>0</v>
      </c>
      <c r="O7" s="571">
        <v>0</v>
      </c>
      <c r="P7" s="571">
        <v>0</v>
      </c>
      <c r="Q7" s="571">
        <v>0</v>
      </c>
      <c r="R7" s="559" t="s">
        <v>1436</v>
      </c>
    </row>
    <row r="8" spans="1:18" ht="13.5">
      <c r="A8" s="300" t="s">
        <v>1312</v>
      </c>
      <c r="B8" s="300" t="s">
        <v>546</v>
      </c>
      <c r="C8" s="300" t="s">
        <v>0</v>
      </c>
      <c r="D8" s="638" t="s">
        <v>1313</v>
      </c>
      <c r="E8" s="639">
        <f t="shared" si="0"/>
        <v>3000</v>
      </c>
      <c r="F8" s="610">
        <v>0</v>
      </c>
      <c r="G8" s="610">
        <v>0</v>
      </c>
      <c r="H8" s="610">
        <v>0</v>
      </c>
      <c r="I8" s="564"/>
      <c r="J8" s="610">
        <f>'[3]MDA'!G39</f>
        <v>1500</v>
      </c>
      <c r="K8" s="610">
        <f>'[3]MDA'!F39</f>
        <v>1500</v>
      </c>
      <c r="L8" s="610">
        <v>0</v>
      </c>
      <c r="M8" s="610">
        <v>0</v>
      </c>
      <c r="N8" s="610">
        <v>0</v>
      </c>
      <c r="O8" s="610">
        <v>0</v>
      </c>
      <c r="P8" s="610">
        <v>0</v>
      </c>
      <c r="Q8" s="610">
        <v>0</v>
      </c>
      <c r="R8" s="612" t="s">
        <v>1437</v>
      </c>
    </row>
    <row r="9" spans="1:18" ht="13.5">
      <c r="A9" s="459" t="s">
        <v>1312</v>
      </c>
      <c r="B9" s="459" t="s">
        <v>536</v>
      </c>
      <c r="C9" s="640" t="s">
        <v>522</v>
      </c>
      <c r="D9" s="605" t="s">
        <v>1438</v>
      </c>
      <c r="E9" s="606">
        <f t="shared" si="0"/>
        <v>7830</v>
      </c>
      <c r="F9" s="568">
        <v>7830</v>
      </c>
      <c r="G9" s="568">
        <v>0</v>
      </c>
      <c r="H9" s="568">
        <v>0</v>
      </c>
      <c r="I9" s="568">
        <v>0</v>
      </c>
      <c r="J9" s="568">
        <v>0</v>
      </c>
      <c r="K9" s="568">
        <v>0</v>
      </c>
      <c r="L9" s="568">
        <v>0</v>
      </c>
      <c r="M9" s="568">
        <v>0</v>
      </c>
      <c r="N9" s="568">
        <v>0</v>
      </c>
      <c r="O9" s="568">
        <v>0</v>
      </c>
      <c r="P9" s="568">
        <v>0</v>
      </c>
      <c r="Q9" s="568">
        <v>0</v>
      </c>
      <c r="R9" s="554" t="s">
        <v>1439</v>
      </c>
    </row>
    <row r="10" spans="1:18" ht="13.5">
      <c r="A10" s="300" t="s">
        <v>1312</v>
      </c>
      <c r="B10" s="300" t="s">
        <v>536</v>
      </c>
      <c r="C10" s="641" t="s">
        <v>524</v>
      </c>
      <c r="D10" s="607" t="s">
        <v>1438</v>
      </c>
      <c r="E10" s="608">
        <f t="shared" si="0"/>
        <v>6720</v>
      </c>
      <c r="F10" s="571">
        <v>6720</v>
      </c>
      <c r="G10" s="571">
        <v>0</v>
      </c>
      <c r="H10" s="571">
        <v>0</v>
      </c>
      <c r="I10" s="571">
        <v>0</v>
      </c>
      <c r="J10" s="571">
        <v>0</v>
      </c>
      <c r="K10" s="571">
        <v>0</v>
      </c>
      <c r="L10" s="571">
        <v>0</v>
      </c>
      <c r="M10" s="571">
        <v>0</v>
      </c>
      <c r="N10" s="571">
        <v>0</v>
      </c>
      <c r="O10" s="571">
        <v>0</v>
      </c>
      <c r="P10" s="571">
        <v>0</v>
      </c>
      <c r="Q10" s="571">
        <v>0</v>
      </c>
      <c r="R10" s="559" t="s">
        <v>1439</v>
      </c>
    </row>
    <row r="11" spans="1:18" ht="13.5">
      <c r="A11" s="465" t="s">
        <v>1312</v>
      </c>
      <c r="B11" s="465" t="s">
        <v>536</v>
      </c>
      <c r="C11" s="642" t="s">
        <v>526</v>
      </c>
      <c r="D11" s="643" t="s">
        <v>1438</v>
      </c>
      <c r="E11" s="613">
        <f t="shared" si="0"/>
        <v>3750</v>
      </c>
      <c r="F11" s="574">
        <v>3750</v>
      </c>
      <c r="G11" s="574">
        <v>0</v>
      </c>
      <c r="H11" s="574">
        <v>0</v>
      </c>
      <c r="I11" s="574">
        <v>0</v>
      </c>
      <c r="J11" s="574">
        <v>0</v>
      </c>
      <c r="K11" s="574">
        <v>0</v>
      </c>
      <c r="L11" s="574">
        <v>0</v>
      </c>
      <c r="M11" s="574">
        <v>0</v>
      </c>
      <c r="N11" s="574">
        <v>0</v>
      </c>
      <c r="O11" s="574">
        <v>0</v>
      </c>
      <c r="P11" s="574">
        <v>0</v>
      </c>
      <c r="Q11" s="574">
        <v>0</v>
      </c>
      <c r="R11" s="563" t="s">
        <v>1439</v>
      </c>
    </row>
    <row r="12" spans="1:18" ht="13.5">
      <c r="A12" s="564"/>
      <c r="B12" s="564"/>
      <c r="C12" s="564"/>
      <c r="D12" s="564"/>
      <c r="E12" s="564"/>
      <c r="F12" s="564"/>
      <c r="G12" s="564"/>
      <c r="H12" s="564"/>
      <c r="I12" s="564"/>
      <c r="J12" s="564"/>
      <c r="K12" s="564"/>
      <c r="L12" s="564"/>
      <c r="M12" s="564"/>
      <c r="N12" s="564"/>
      <c r="O12" s="564"/>
      <c r="P12" s="564"/>
      <c r="Q12" s="564"/>
      <c r="R12" s="564"/>
    </row>
    <row r="13" spans="1:18" ht="13.5">
      <c r="A13" s="564"/>
      <c r="B13" s="564"/>
      <c r="C13" s="564"/>
      <c r="D13" s="564"/>
      <c r="E13" s="564"/>
      <c r="F13" s="564"/>
      <c r="G13" s="564"/>
      <c r="H13" s="564"/>
      <c r="I13" s="564"/>
      <c r="J13" s="564"/>
      <c r="K13" s="564"/>
      <c r="L13" s="564"/>
      <c r="M13" s="564"/>
      <c r="N13" s="564"/>
      <c r="O13" s="564"/>
      <c r="P13" s="564"/>
      <c r="Q13" s="564"/>
      <c r="R13" s="564"/>
    </row>
    <row r="14" spans="1:18" ht="13.5">
      <c r="A14" s="564"/>
      <c r="B14" s="564"/>
      <c r="C14" s="564"/>
      <c r="D14" s="564"/>
      <c r="E14" s="564"/>
      <c r="F14" s="564"/>
      <c r="G14" s="564"/>
      <c r="H14" s="564"/>
      <c r="I14" s="564"/>
      <c r="J14" s="564"/>
      <c r="K14" s="564"/>
      <c r="L14" s="564"/>
      <c r="M14" s="564"/>
      <c r="N14" s="564"/>
      <c r="O14" s="564"/>
      <c r="P14" s="564"/>
      <c r="Q14" s="564"/>
      <c r="R14" s="564"/>
    </row>
    <row r="15" spans="1:18" ht="13.5">
      <c r="A15" s="564"/>
      <c r="B15" s="564"/>
      <c r="C15" s="564"/>
      <c r="D15" s="564"/>
      <c r="E15" s="564"/>
      <c r="F15" s="564"/>
      <c r="G15" s="564"/>
      <c r="H15" s="564"/>
      <c r="I15" s="564"/>
      <c r="J15" s="564"/>
      <c r="K15" s="564"/>
      <c r="L15" s="564"/>
      <c r="M15" s="564"/>
      <c r="N15" s="564"/>
      <c r="O15" s="564"/>
      <c r="P15" s="564"/>
      <c r="Q15" s="564"/>
      <c r="R15" s="564"/>
    </row>
    <row r="16" spans="1:18" ht="13.5">
      <c r="A16" s="564"/>
      <c r="B16" s="564"/>
      <c r="C16" s="564"/>
      <c r="D16" s="564"/>
      <c r="E16" s="564"/>
      <c r="F16" s="564"/>
      <c r="G16" s="564"/>
      <c r="H16" s="564"/>
      <c r="I16" s="564"/>
      <c r="J16" s="564"/>
      <c r="K16" s="564"/>
      <c r="L16" s="564"/>
      <c r="M16" s="564"/>
      <c r="N16" s="564"/>
      <c r="O16" s="564"/>
      <c r="P16" s="564"/>
      <c r="Q16" s="564"/>
      <c r="R16" s="564"/>
    </row>
  </sheetData>
  <sheetProtection/>
  <mergeCells count="5">
    <mergeCell ref="F2:H2"/>
    <mergeCell ref="I2:K2"/>
    <mergeCell ref="L2:N2"/>
    <mergeCell ref="O2:Q2"/>
    <mergeCell ref="A3:D3"/>
  </mergeCells>
  <printOp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dimension ref="A1:R26"/>
  <sheetViews>
    <sheetView workbookViewId="0" topLeftCell="A1">
      <selection activeCell="F7" sqref="F7"/>
    </sheetView>
  </sheetViews>
  <sheetFormatPr defaultColWidth="11.42187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34" t="s">
        <v>1245</v>
      </c>
      <c r="G2" s="835"/>
      <c r="H2" s="835"/>
      <c r="I2" s="835" t="s">
        <v>1246</v>
      </c>
      <c r="J2" s="835"/>
      <c r="K2" s="835"/>
      <c r="L2" s="835" t="s">
        <v>1247</v>
      </c>
      <c r="M2" s="835"/>
      <c r="N2" s="835"/>
      <c r="O2" s="835" t="s">
        <v>1248</v>
      </c>
      <c r="P2" s="835"/>
      <c r="Q2" s="835"/>
      <c r="R2" s="564"/>
    </row>
    <row r="3" spans="1:18" ht="13.5">
      <c r="A3" s="831"/>
      <c r="B3" s="832"/>
      <c r="C3" s="832"/>
      <c r="D3" s="834"/>
      <c r="E3" s="548" t="s">
        <v>799</v>
      </c>
      <c r="F3" s="548" t="s">
        <v>1250</v>
      </c>
      <c r="G3" s="548" t="s">
        <v>1251</v>
      </c>
      <c r="H3" s="548" t="s">
        <v>1252</v>
      </c>
      <c r="I3" s="548" t="s">
        <v>1253</v>
      </c>
      <c r="J3" s="548" t="s">
        <v>1254</v>
      </c>
      <c r="K3" s="548" t="s">
        <v>1255</v>
      </c>
      <c r="L3" s="548" t="s">
        <v>1256</v>
      </c>
      <c r="M3" s="548" t="s">
        <v>1257</v>
      </c>
      <c r="N3" s="548" t="s">
        <v>1258</v>
      </c>
      <c r="O3" s="548" t="s">
        <v>1259</v>
      </c>
      <c r="P3" s="548" t="s">
        <v>1260</v>
      </c>
      <c r="Q3" s="548" t="s">
        <v>1261</v>
      </c>
      <c r="R3" s="549"/>
    </row>
    <row r="4" spans="1:18" ht="13.5">
      <c r="A4" s="604" t="s">
        <v>1319</v>
      </c>
      <c r="B4" s="300" t="s">
        <v>536</v>
      </c>
      <c r="C4" s="300" t="s">
        <v>522</v>
      </c>
      <c r="D4" s="605" t="s">
        <v>1422</v>
      </c>
      <c r="E4" s="606">
        <f>SUM(F4:Q4)</f>
        <v>35865</v>
      </c>
      <c r="F4" s="568">
        <v>0</v>
      </c>
      <c r="G4" s="568">
        <v>0</v>
      </c>
      <c r="H4" s="568">
        <f>118*45</f>
        <v>5310</v>
      </c>
      <c r="I4" s="568">
        <f>118*45</f>
        <v>5310</v>
      </c>
      <c r="J4" s="568">
        <f>60*45</f>
        <v>2700</v>
      </c>
      <c r="K4" s="568">
        <f>187*2*45</f>
        <v>16830</v>
      </c>
      <c r="L4" s="568">
        <f>52*45</f>
        <v>2340</v>
      </c>
      <c r="M4" s="568">
        <f>75*45</f>
        <v>3375</v>
      </c>
      <c r="N4" s="568">
        <v>0</v>
      </c>
      <c r="O4" s="568">
        <v>0</v>
      </c>
      <c r="P4" s="568">
        <v>0</v>
      </c>
      <c r="Q4" s="568">
        <v>0</v>
      </c>
      <c r="R4" s="554" t="s">
        <v>1423</v>
      </c>
    </row>
    <row r="5" spans="1:18" ht="13.5">
      <c r="A5" s="604" t="s">
        <v>1319</v>
      </c>
      <c r="B5" s="300" t="s">
        <v>536</v>
      </c>
      <c r="C5" s="300" t="s">
        <v>524</v>
      </c>
      <c r="D5" s="607" t="s">
        <v>1422</v>
      </c>
      <c r="E5" s="608">
        <f aca="true" t="shared" si="0" ref="E5:E10">SUM(F5:Q5)</f>
        <v>22005</v>
      </c>
      <c r="F5" s="571">
        <f>28*2*45</f>
        <v>2520</v>
      </c>
      <c r="G5" s="571">
        <f>19*45</f>
        <v>855</v>
      </c>
      <c r="H5" s="571">
        <v>0</v>
      </c>
      <c r="I5" s="571">
        <f>44*45</f>
        <v>1980</v>
      </c>
      <c r="J5" s="571">
        <f>55*45</f>
        <v>2475</v>
      </c>
      <c r="K5" s="571">
        <v>0</v>
      </c>
      <c r="L5" s="571">
        <f>21*2*45</f>
        <v>1890</v>
      </c>
      <c r="M5" s="571">
        <f>39*3*45</f>
        <v>5265</v>
      </c>
      <c r="N5" s="571">
        <f>39*2*45</f>
        <v>3510</v>
      </c>
      <c r="O5" s="571">
        <v>0</v>
      </c>
      <c r="P5" s="571">
        <v>0</v>
      </c>
      <c r="Q5" s="571">
        <f>39*2*45</f>
        <v>3510</v>
      </c>
      <c r="R5" s="559" t="s">
        <v>1423</v>
      </c>
    </row>
    <row r="6" spans="1:18" ht="13.5">
      <c r="A6" s="300" t="s">
        <v>1319</v>
      </c>
      <c r="B6" s="300" t="s">
        <v>536</v>
      </c>
      <c r="C6" s="300" t="s">
        <v>526</v>
      </c>
      <c r="D6" s="607" t="s">
        <v>1422</v>
      </c>
      <c r="E6" s="608">
        <f t="shared" si="0"/>
        <v>11610</v>
      </c>
      <c r="F6" s="571">
        <f>57*45</f>
        <v>2565</v>
      </c>
      <c r="G6" s="571">
        <f>32*45</f>
        <v>1440</v>
      </c>
      <c r="H6" s="571">
        <f>27*45</f>
        <v>1215</v>
      </c>
      <c r="I6" s="571">
        <v>0</v>
      </c>
      <c r="J6" s="571">
        <v>0</v>
      </c>
      <c r="K6" s="571">
        <f>58*45</f>
        <v>2610</v>
      </c>
      <c r="L6" s="571">
        <v>0</v>
      </c>
      <c r="M6" s="571">
        <f>51*45</f>
        <v>2295</v>
      </c>
      <c r="N6" s="571">
        <v>0</v>
      </c>
      <c r="O6" s="571">
        <f>33*45</f>
        <v>1485</v>
      </c>
      <c r="P6" s="571">
        <v>0</v>
      </c>
      <c r="Q6" s="571">
        <v>0</v>
      </c>
      <c r="R6" s="559" t="s">
        <v>1423</v>
      </c>
    </row>
    <row r="7" spans="1:18" ht="13.5">
      <c r="A7" s="300" t="s">
        <v>1319</v>
      </c>
      <c r="B7" s="300" t="s">
        <v>546</v>
      </c>
      <c r="C7" s="300" t="s">
        <v>522</v>
      </c>
      <c r="D7" s="609" t="s">
        <v>1424</v>
      </c>
      <c r="E7" s="608">
        <f t="shared" si="0"/>
        <v>16625</v>
      </c>
      <c r="F7" s="610">
        <v>0</v>
      </c>
      <c r="G7" s="610">
        <f>'[3]MDA'!G10</f>
        <v>16625</v>
      </c>
      <c r="H7" s="611">
        <v>0</v>
      </c>
      <c r="I7" s="610">
        <v>0</v>
      </c>
      <c r="J7" s="610">
        <v>0</v>
      </c>
      <c r="K7" s="611">
        <v>0</v>
      </c>
      <c r="L7" s="611">
        <v>0</v>
      </c>
      <c r="M7" s="611">
        <v>0</v>
      </c>
      <c r="N7" s="611">
        <v>0</v>
      </c>
      <c r="O7" s="611">
        <v>0</v>
      </c>
      <c r="P7" s="611">
        <v>0</v>
      </c>
      <c r="Q7" s="611">
        <v>0</v>
      </c>
      <c r="R7" s="612" t="s">
        <v>1348</v>
      </c>
    </row>
    <row r="8" spans="1:18" ht="13.5">
      <c r="A8" s="300" t="s">
        <v>1319</v>
      </c>
      <c r="B8" s="300" t="s">
        <v>546</v>
      </c>
      <c r="C8" s="300" t="s">
        <v>524</v>
      </c>
      <c r="D8" s="609" t="s">
        <v>1424</v>
      </c>
      <c r="E8" s="608">
        <f t="shared" si="0"/>
        <v>6600</v>
      </c>
      <c r="F8" s="610">
        <v>0</v>
      </c>
      <c r="G8" s="610">
        <v>0</v>
      </c>
      <c r="H8" s="610">
        <v>0</v>
      </c>
      <c r="I8" s="610">
        <v>0</v>
      </c>
      <c r="J8" s="610">
        <f>'[3]MDA'!G27</f>
        <v>6600</v>
      </c>
      <c r="K8" s="611">
        <v>0</v>
      </c>
      <c r="L8" s="611">
        <v>0</v>
      </c>
      <c r="M8" s="611">
        <v>0</v>
      </c>
      <c r="N8" s="611">
        <v>0</v>
      </c>
      <c r="O8" s="611">
        <v>0</v>
      </c>
      <c r="P8" s="611">
        <v>0</v>
      </c>
      <c r="Q8" s="611">
        <v>0</v>
      </c>
      <c r="R8" s="612" t="s">
        <v>1348</v>
      </c>
    </row>
    <row r="9" spans="1:18" ht="13.5">
      <c r="A9" s="300" t="s">
        <v>1319</v>
      </c>
      <c r="B9" s="300" t="s">
        <v>546</v>
      </c>
      <c r="C9" s="300" t="s">
        <v>526</v>
      </c>
      <c r="D9" s="609" t="s">
        <v>1424</v>
      </c>
      <c r="E9" s="608">
        <f t="shared" si="0"/>
        <v>2275</v>
      </c>
      <c r="F9" s="571">
        <v>0</v>
      </c>
      <c r="G9" s="571">
        <v>0</v>
      </c>
      <c r="H9" s="571">
        <v>0</v>
      </c>
      <c r="I9" s="571">
        <f>'[3]MDA'!O43</f>
        <v>2275</v>
      </c>
      <c r="J9" s="571">
        <v>0</v>
      </c>
      <c r="K9" s="611">
        <v>0</v>
      </c>
      <c r="L9" s="611">
        <v>0</v>
      </c>
      <c r="M9" s="611">
        <v>0</v>
      </c>
      <c r="N9" s="611">
        <v>0</v>
      </c>
      <c r="O9" s="611">
        <v>0</v>
      </c>
      <c r="P9" s="611">
        <v>0</v>
      </c>
      <c r="Q9" s="611">
        <v>0</v>
      </c>
      <c r="R9" s="612" t="s">
        <v>1348</v>
      </c>
    </row>
    <row r="10" spans="1:18" ht="13.5">
      <c r="A10" s="300" t="s">
        <v>1319</v>
      </c>
      <c r="B10" s="300" t="s">
        <v>546</v>
      </c>
      <c r="C10" s="596" t="s">
        <v>1263</v>
      </c>
      <c r="D10" s="602" t="s">
        <v>1424</v>
      </c>
      <c r="E10" s="613">
        <f t="shared" si="0"/>
        <v>20000</v>
      </c>
      <c r="F10" s="574">
        <v>0</v>
      </c>
      <c r="G10" s="574">
        <v>0</v>
      </c>
      <c r="H10" s="603">
        <v>0</v>
      </c>
      <c r="I10" s="574">
        <v>0</v>
      </c>
      <c r="J10" s="574">
        <f>'[3]MDA'!O10</f>
        <v>20000</v>
      </c>
      <c r="K10" s="603">
        <v>0</v>
      </c>
      <c r="L10" s="574">
        <v>0</v>
      </c>
      <c r="M10" s="574">
        <v>0</v>
      </c>
      <c r="N10" s="574">
        <v>0</v>
      </c>
      <c r="O10" s="574">
        <v>0</v>
      </c>
      <c r="P10" s="574">
        <v>0</v>
      </c>
      <c r="Q10" s="574">
        <v>0</v>
      </c>
      <c r="R10" s="614" t="s">
        <v>1348</v>
      </c>
    </row>
    <row r="11" spans="1:18" ht="13.5">
      <c r="A11" s="564"/>
      <c r="B11" s="564"/>
      <c r="C11" s="564"/>
      <c r="D11" s="564"/>
      <c r="E11" s="615"/>
      <c r="F11" s="564"/>
      <c r="G11" s="564"/>
      <c r="H11" s="564"/>
      <c r="I11" s="564"/>
      <c r="J11" s="564"/>
      <c r="K11" s="564"/>
      <c r="L11" s="564"/>
      <c r="M11" s="564"/>
      <c r="N11" s="564"/>
      <c r="O11" s="564"/>
      <c r="P11" s="564"/>
      <c r="Q11" s="564"/>
      <c r="R11" s="564"/>
    </row>
    <row r="12" spans="1:18" ht="13.5">
      <c r="A12" s="564"/>
      <c r="B12" s="564"/>
      <c r="C12" s="564"/>
      <c r="D12" s="564"/>
      <c r="E12" s="564"/>
      <c r="F12" s="564"/>
      <c r="G12" s="564"/>
      <c r="H12" s="564"/>
      <c r="I12" s="564"/>
      <c r="J12" s="564"/>
      <c r="K12" s="564"/>
      <c r="L12" s="564"/>
      <c r="M12" s="564"/>
      <c r="N12" s="564"/>
      <c r="O12" s="564"/>
      <c r="P12" s="564"/>
      <c r="Q12" s="564"/>
      <c r="R12" s="564"/>
    </row>
    <row r="13" spans="1:18" ht="13.5">
      <c r="A13" s="564"/>
      <c r="B13" s="564"/>
      <c r="C13" s="564"/>
      <c r="D13" s="564"/>
      <c r="E13" s="564"/>
      <c r="F13" s="564"/>
      <c r="G13" s="564"/>
      <c r="H13" s="564"/>
      <c r="I13" s="564"/>
      <c r="J13" s="564"/>
      <c r="K13" s="564"/>
      <c r="L13" s="564"/>
      <c r="M13" s="564"/>
      <c r="N13" s="564"/>
      <c r="O13" s="564"/>
      <c r="P13" s="564"/>
      <c r="Q13" s="564"/>
      <c r="R13" s="564"/>
    </row>
    <row r="14" spans="1:18" ht="13.5">
      <c r="A14" s="564"/>
      <c r="B14" s="564"/>
      <c r="C14" s="564"/>
      <c r="D14" s="564"/>
      <c r="E14" s="564"/>
      <c r="F14" s="564"/>
      <c r="G14" s="564"/>
      <c r="H14" s="564"/>
      <c r="I14" s="564"/>
      <c r="J14" s="564"/>
      <c r="K14" s="564"/>
      <c r="L14" s="564"/>
      <c r="M14" s="564"/>
      <c r="N14" s="564"/>
      <c r="O14" s="564"/>
      <c r="P14" s="564"/>
      <c r="Q14" s="564"/>
      <c r="R14" s="564"/>
    </row>
    <row r="15" spans="1:18" ht="13.5">
      <c r="A15" s="564"/>
      <c r="B15" s="564"/>
      <c r="C15" s="564"/>
      <c r="D15" s="566" t="s">
        <v>1425</v>
      </c>
      <c r="E15" s="564"/>
      <c r="F15" s="564"/>
      <c r="G15" s="564"/>
      <c r="H15" s="564"/>
      <c r="I15" s="564"/>
      <c r="J15" s="564"/>
      <c r="K15" s="564"/>
      <c r="L15" s="564"/>
      <c r="M15" s="564"/>
      <c r="N15" s="564"/>
      <c r="O15" s="564"/>
      <c r="P15" s="564"/>
      <c r="Q15" s="564"/>
      <c r="R15" s="564"/>
    </row>
    <row r="16" spans="1:18" ht="13.5">
      <c r="A16" s="564"/>
      <c r="B16" s="564"/>
      <c r="C16" s="564"/>
      <c r="D16" s="564"/>
      <c r="E16" s="564"/>
      <c r="F16" s="564"/>
      <c r="G16" s="564"/>
      <c r="H16" s="564"/>
      <c r="I16" s="564"/>
      <c r="J16" s="564"/>
      <c r="K16" s="564"/>
      <c r="L16" s="564"/>
      <c r="M16" s="564"/>
      <c r="N16" s="564"/>
      <c r="O16" s="564"/>
      <c r="P16" s="564"/>
      <c r="Q16" s="564"/>
      <c r="R16" s="564"/>
    </row>
    <row r="17" spans="1:18" ht="13.5">
      <c r="A17" s="564"/>
      <c r="B17" s="564"/>
      <c r="C17" s="616" t="s">
        <v>1426</v>
      </c>
      <c r="D17" s="617" t="s">
        <v>802</v>
      </c>
      <c r="E17" s="616" t="s">
        <v>1427</v>
      </c>
      <c r="F17" s="616" t="s">
        <v>1428</v>
      </c>
      <c r="G17" s="564"/>
      <c r="H17" s="564"/>
      <c r="I17" s="564"/>
      <c r="J17" s="564"/>
      <c r="K17" s="564"/>
      <c r="L17" s="564"/>
      <c r="M17" s="564"/>
      <c r="N17" s="564"/>
      <c r="O17" s="564"/>
      <c r="P17" s="564"/>
      <c r="Q17" s="564"/>
      <c r="R17" s="564"/>
    </row>
    <row r="18" spans="1:18" ht="13.5">
      <c r="A18" s="564"/>
      <c r="B18" s="564"/>
      <c r="C18" s="618">
        <v>1</v>
      </c>
      <c r="D18" s="619" t="s">
        <v>1429</v>
      </c>
      <c r="E18" s="620">
        <v>1</v>
      </c>
      <c r="F18" s="621">
        <v>12</v>
      </c>
      <c r="G18" s="564"/>
      <c r="H18" s="564"/>
      <c r="I18" s="564"/>
      <c r="J18" s="564"/>
      <c r="K18" s="564"/>
      <c r="L18" s="564"/>
      <c r="M18" s="564"/>
      <c r="N18" s="564"/>
      <c r="O18" s="564"/>
      <c r="P18" s="564"/>
      <c r="Q18" s="564"/>
      <c r="R18" s="564"/>
    </row>
    <row r="19" spans="1:18" ht="13.5">
      <c r="A19" s="564"/>
      <c r="B19" s="564"/>
      <c r="C19" s="622">
        <v>2</v>
      </c>
      <c r="D19" s="623" t="s">
        <v>1430</v>
      </c>
      <c r="E19" s="624">
        <v>1</v>
      </c>
      <c r="F19" s="625">
        <v>7</v>
      </c>
      <c r="G19" s="564"/>
      <c r="H19" s="564"/>
      <c r="I19" s="564"/>
      <c r="J19" s="564"/>
      <c r="K19" s="564"/>
      <c r="L19" s="564"/>
      <c r="M19" s="564"/>
      <c r="N19" s="564"/>
      <c r="O19" s="564"/>
      <c r="P19" s="564"/>
      <c r="Q19" s="564"/>
      <c r="R19" s="564"/>
    </row>
    <row r="20" spans="1:18" ht="13.5">
      <c r="A20" s="564"/>
      <c r="B20" s="564"/>
      <c r="C20" s="622">
        <v>3</v>
      </c>
      <c r="D20" s="623" t="s">
        <v>1431</v>
      </c>
      <c r="E20" s="624">
        <v>1</v>
      </c>
      <c r="F20" s="625">
        <v>10</v>
      </c>
      <c r="G20" s="564"/>
      <c r="H20" s="564"/>
      <c r="I20" s="564"/>
      <c r="J20" s="564"/>
      <c r="K20" s="564"/>
      <c r="L20" s="564"/>
      <c r="M20" s="564"/>
      <c r="N20" s="564"/>
      <c r="O20" s="564"/>
      <c r="P20" s="564"/>
      <c r="Q20" s="564"/>
      <c r="R20" s="564"/>
    </row>
    <row r="21" spans="1:18" ht="13.5">
      <c r="A21" s="564"/>
      <c r="B21" s="564"/>
      <c r="C21" s="622">
        <v>4</v>
      </c>
      <c r="D21" s="623" t="s">
        <v>1432</v>
      </c>
      <c r="E21" s="624">
        <v>1</v>
      </c>
      <c r="F21" s="625">
        <v>5.5</v>
      </c>
      <c r="G21" s="564"/>
      <c r="H21" s="626"/>
      <c r="I21" s="564"/>
      <c r="J21" s="564"/>
      <c r="K21" s="564"/>
      <c r="L21" s="564"/>
      <c r="M21" s="564"/>
      <c r="N21" s="564"/>
      <c r="O21" s="564"/>
      <c r="P21" s="564"/>
      <c r="Q21" s="564"/>
      <c r="R21" s="564"/>
    </row>
    <row r="22" spans="1:18" ht="13.5">
      <c r="A22" s="564"/>
      <c r="B22" s="564"/>
      <c r="C22" s="622">
        <v>5</v>
      </c>
      <c r="D22" s="623" t="s">
        <v>1433</v>
      </c>
      <c r="E22" s="624">
        <v>1</v>
      </c>
      <c r="F22" s="625">
        <v>7.5</v>
      </c>
      <c r="G22" s="564"/>
      <c r="H22" s="626"/>
      <c r="I22" s="564"/>
      <c r="J22" s="564"/>
      <c r="K22" s="564"/>
      <c r="L22" s="564"/>
      <c r="M22" s="564"/>
      <c r="N22" s="564"/>
      <c r="O22" s="564"/>
      <c r="P22" s="564"/>
      <c r="Q22" s="564"/>
      <c r="R22" s="564"/>
    </row>
    <row r="23" spans="1:18" ht="13.5">
      <c r="A23" s="564"/>
      <c r="B23" s="564"/>
      <c r="C23" s="622">
        <v>6</v>
      </c>
      <c r="D23" s="623" t="s">
        <v>1434</v>
      </c>
      <c r="E23" s="624">
        <v>1</v>
      </c>
      <c r="F23" s="625">
        <v>2</v>
      </c>
      <c r="G23" s="564"/>
      <c r="H23" s="564"/>
      <c r="I23" s="564"/>
      <c r="J23" s="564"/>
      <c r="K23" s="564"/>
      <c r="L23" s="564"/>
      <c r="M23" s="564"/>
      <c r="N23" s="564"/>
      <c r="O23" s="564"/>
      <c r="P23" s="564"/>
      <c r="Q23" s="564"/>
      <c r="R23" s="564"/>
    </row>
    <row r="24" spans="1:18" ht="13.5">
      <c r="A24" s="564"/>
      <c r="B24" s="564"/>
      <c r="C24" s="627">
        <v>7</v>
      </c>
      <c r="D24" s="628" t="s">
        <v>1435</v>
      </c>
      <c r="E24" s="629">
        <v>1</v>
      </c>
      <c r="F24" s="630">
        <v>0.5</v>
      </c>
      <c r="G24" s="564"/>
      <c r="H24" s="564"/>
      <c r="I24" s="564"/>
      <c r="J24" s="564"/>
      <c r="K24" s="564"/>
      <c r="L24" s="564"/>
      <c r="M24" s="564"/>
      <c r="N24" s="564"/>
      <c r="O24" s="564"/>
      <c r="P24" s="564"/>
      <c r="Q24" s="564"/>
      <c r="R24" s="564"/>
    </row>
    <row r="25" spans="1:18" ht="13.5">
      <c r="A25" s="564"/>
      <c r="B25" s="564"/>
      <c r="C25" s="631"/>
      <c r="D25" s="632"/>
      <c r="E25" s="633"/>
      <c r="F25" s="634">
        <f>SUM(F18:F24)</f>
        <v>44.5</v>
      </c>
      <c r="G25" s="564"/>
      <c r="H25" s="564"/>
      <c r="I25" s="564"/>
      <c r="J25" s="564"/>
      <c r="K25" s="564"/>
      <c r="L25" s="564"/>
      <c r="M25" s="564"/>
      <c r="N25" s="564"/>
      <c r="O25" s="564"/>
      <c r="P25" s="564"/>
      <c r="Q25" s="564"/>
      <c r="R25" s="564"/>
    </row>
    <row r="26" spans="1:18" ht="13.5">
      <c r="A26" s="564"/>
      <c r="B26" s="564"/>
      <c r="C26" s="564"/>
      <c r="D26" s="564"/>
      <c r="E26" s="564"/>
      <c r="F26" s="564"/>
      <c r="G26" s="564"/>
      <c r="H26" s="564"/>
      <c r="I26" s="564"/>
      <c r="J26" s="564"/>
      <c r="K26" s="564"/>
      <c r="L26" s="564"/>
      <c r="M26" s="564"/>
      <c r="N26" s="564"/>
      <c r="O26" s="564"/>
      <c r="P26" s="564"/>
      <c r="Q26" s="564"/>
      <c r="R26" s="564"/>
    </row>
  </sheetData>
  <sheetProtection/>
  <mergeCells count="5">
    <mergeCell ref="F2:H2"/>
    <mergeCell ref="I2:K2"/>
    <mergeCell ref="L2:N2"/>
    <mergeCell ref="O2:Q2"/>
    <mergeCell ref="A3:D3"/>
  </mergeCell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T37"/>
  <sheetViews>
    <sheetView workbookViewId="0" topLeftCell="A1">
      <selection activeCell="A1" sqref="A1"/>
    </sheetView>
  </sheetViews>
  <sheetFormatPr defaultColWidth="11.421875" defaultRowHeight="15"/>
  <sheetData>
    <row r="1" spans="1:20" ht="13.5">
      <c r="A1" s="564"/>
      <c r="B1" s="564"/>
      <c r="C1" s="564"/>
      <c r="D1" s="564"/>
      <c r="E1" s="564"/>
      <c r="F1" s="564"/>
      <c r="G1" s="564"/>
      <c r="H1" s="564"/>
      <c r="I1" s="564"/>
      <c r="J1" s="564"/>
      <c r="K1" s="564"/>
      <c r="L1" s="564"/>
      <c r="M1" s="564"/>
      <c r="N1" s="564"/>
      <c r="O1" s="564"/>
      <c r="P1" s="564"/>
      <c r="Q1" s="564"/>
      <c r="R1" s="564"/>
      <c r="S1" s="564"/>
      <c r="T1" s="564"/>
    </row>
    <row r="2" spans="1:20" ht="13.5">
      <c r="A2" s="564"/>
      <c r="B2" s="564"/>
      <c r="C2" s="564"/>
      <c r="D2" s="564"/>
      <c r="E2" s="565"/>
      <c r="F2" s="834" t="s">
        <v>1245</v>
      </c>
      <c r="G2" s="835"/>
      <c r="H2" s="835"/>
      <c r="I2" s="835" t="s">
        <v>1246</v>
      </c>
      <c r="J2" s="835"/>
      <c r="K2" s="835"/>
      <c r="L2" s="835" t="s">
        <v>1247</v>
      </c>
      <c r="M2" s="835"/>
      <c r="N2" s="835"/>
      <c r="O2" s="835" t="s">
        <v>1248</v>
      </c>
      <c r="P2" s="835"/>
      <c r="Q2" s="835"/>
      <c r="R2" s="564"/>
      <c r="S2" s="564"/>
      <c r="T2" s="564"/>
    </row>
    <row r="3" spans="1:20" ht="13.5">
      <c r="A3" s="831"/>
      <c r="B3" s="832"/>
      <c r="C3" s="832"/>
      <c r="D3" s="834"/>
      <c r="E3" s="548" t="s">
        <v>799</v>
      </c>
      <c r="F3" s="548" t="s">
        <v>1250</v>
      </c>
      <c r="G3" s="548" t="s">
        <v>1251</v>
      </c>
      <c r="H3" s="548" t="s">
        <v>1252</v>
      </c>
      <c r="I3" s="548" t="s">
        <v>1253</v>
      </c>
      <c r="J3" s="548" t="s">
        <v>1254</v>
      </c>
      <c r="K3" s="548" t="s">
        <v>1255</v>
      </c>
      <c r="L3" s="548" t="s">
        <v>1256</v>
      </c>
      <c r="M3" s="548" t="s">
        <v>1257</v>
      </c>
      <c r="N3" s="548" t="s">
        <v>1258</v>
      </c>
      <c r="O3" s="548" t="s">
        <v>1259</v>
      </c>
      <c r="P3" s="548" t="s">
        <v>1260</v>
      </c>
      <c r="Q3" s="548" t="s">
        <v>1261</v>
      </c>
      <c r="R3" s="549"/>
      <c r="S3" s="566"/>
      <c r="T3" s="566"/>
    </row>
    <row r="4" spans="1:20" ht="13.5">
      <c r="A4" s="550" t="s">
        <v>28</v>
      </c>
      <c r="B4" s="550" t="s">
        <v>546</v>
      </c>
      <c r="C4" s="550" t="s">
        <v>522</v>
      </c>
      <c r="D4" s="567" t="s">
        <v>1415</v>
      </c>
      <c r="E4" s="552">
        <f>SUM(F4:Q4)</f>
        <v>4000</v>
      </c>
      <c r="F4" s="568">
        <v>0</v>
      </c>
      <c r="G4" s="568">
        <f>SUM('[3]MDA'!G6:G9)</f>
        <v>4000</v>
      </c>
      <c r="H4" s="568">
        <v>0</v>
      </c>
      <c r="I4" s="568">
        <v>0</v>
      </c>
      <c r="J4" s="568">
        <v>0</v>
      </c>
      <c r="K4" s="568">
        <v>0</v>
      </c>
      <c r="L4" s="568">
        <v>0</v>
      </c>
      <c r="M4" s="568">
        <v>0</v>
      </c>
      <c r="N4" s="568">
        <v>0</v>
      </c>
      <c r="O4" s="568">
        <v>0</v>
      </c>
      <c r="P4" s="568">
        <v>0</v>
      </c>
      <c r="Q4" s="568">
        <v>0</v>
      </c>
      <c r="R4" s="554" t="s">
        <v>1414</v>
      </c>
      <c r="S4" s="569"/>
      <c r="T4" s="569"/>
    </row>
    <row r="5" spans="1:20" ht="13.5">
      <c r="A5" s="555" t="s">
        <v>28</v>
      </c>
      <c r="B5" s="555" t="s">
        <v>546</v>
      </c>
      <c r="C5" s="555" t="s">
        <v>524</v>
      </c>
      <c r="D5" s="570" t="s">
        <v>1415</v>
      </c>
      <c r="E5" s="557">
        <f aca="true" t="shared" si="0" ref="E5:E17">SUM(F5:Q5)</f>
        <v>43750</v>
      </c>
      <c r="F5" s="571">
        <v>0</v>
      </c>
      <c r="G5" s="571">
        <v>0</v>
      </c>
      <c r="H5" s="571">
        <f>SUM('[3]MDA'!O22:O26)</f>
        <v>6250</v>
      </c>
      <c r="I5" s="571">
        <v>0</v>
      </c>
      <c r="J5" s="571">
        <f>SUM('[3]MDA'!G22:G26)</f>
        <v>31250</v>
      </c>
      <c r="K5" s="571">
        <v>0</v>
      </c>
      <c r="L5" s="571">
        <v>0</v>
      </c>
      <c r="M5" s="571">
        <v>0</v>
      </c>
      <c r="N5" s="571">
        <v>0</v>
      </c>
      <c r="O5" s="571">
        <v>0</v>
      </c>
      <c r="P5" s="571">
        <f>SUM('[3]MDA'!O22:O26)</f>
        <v>6250</v>
      </c>
      <c r="Q5" s="571">
        <v>0</v>
      </c>
      <c r="R5" s="559" t="s">
        <v>1414</v>
      </c>
      <c r="S5" s="569"/>
      <c r="T5" s="569"/>
    </row>
    <row r="6" spans="1:20" ht="13.5">
      <c r="A6" s="555" t="s">
        <v>28</v>
      </c>
      <c r="B6" s="555" t="s">
        <v>546</v>
      </c>
      <c r="C6" s="555" t="s">
        <v>526</v>
      </c>
      <c r="D6" s="572" t="s">
        <v>1415</v>
      </c>
      <c r="E6" s="557">
        <f t="shared" si="0"/>
        <v>4300</v>
      </c>
      <c r="F6" s="571">
        <v>0</v>
      </c>
      <c r="G6" s="571">
        <v>0</v>
      </c>
      <c r="H6" s="571">
        <v>0</v>
      </c>
      <c r="I6" s="571">
        <f>SUM('[3]MDA'!O39:O42)</f>
        <v>4300</v>
      </c>
      <c r="J6" s="571">
        <v>0</v>
      </c>
      <c r="K6" s="571">
        <v>0</v>
      </c>
      <c r="L6" s="571">
        <v>0</v>
      </c>
      <c r="M6" s="571">
        <v>0</v>
      </c>
      <c r="N6" s="571">
        <v>0</v>
      </c>
      <c r="O6" s="571">
        <v>0</v>
      </c>
      <c r="P6" s="571">
        <v>0</v>
      </c>
      <c r="Q6" s="571">
        <v>0</v>
      </c>
      <c r="R6" s="559" t="s">
        <v>1414</v>
      </c>
      <c r="S6" s="569"/>
      <c r="T6" s="569"/>
    </row>
    <row r="7" spans="1:20" ht="13.5">
      <c r="A7" s="555" t="s">
        <v>28</v>
      </c>
      <c r="B7" s="555" t="s">
        <v>546</v>
      </c>
      <c r="C7" s="555" t="s">
        <v>1263</v>
      </c>
      <c r="D7" s="572" t="s">
        <v>1415</v>
      </c>
      <c r="E7" s="557">
        <f t="shared" si="0"/>
        <v>5500</v>
      </c>
      <c r="F7" s="571">
        <v>0</v>
      </c>
      <c r="G7" s="571">
        <v>0</v>
      </c>
      <c r="H7" s="571">
        <v>0</v>
      </c>
      <c r="I7" s="571">
        <v>0</v>
      </c>
      <c r="J7" s="571">
        <f>SUM('[3]MDA'!O6:O9)</f>
        <v>5500</v>
      </c>
      <c r="K7" s="571">
        <v>0</v>
      </c>
      <c r="L7" s="571">
        <v>0</v>
      </c>
      <c r="M7" s="571">
        <v>0</v>
      </c>
      <c r="N7" s="571">
        <v>0</v>
      </c>
      <c r="O7" s="571">
        <v>0</v>
      </c>
      <c r="P7" s="571">
        <v>0</v>
      </c>
      <c r="Q7" s="571">
        <v>0</v>
      </c>
      <c r="R7" s="559" t="s">
        <v>1414</v>
      </c>
      <c r="S7" s="569"/>
      <c r="T7" s="569"/>
    </row>
    <row r="8" spans="1:20" ht="13.5">
      <c r="A8" s="560" t="s">
        <v>28</v>
      </c>
      <c r="B8" s="560" t="s">
        <v>546</v>
      </c>
      <c r="C8" s="560" t="s">
        <v>0</v>
      </c>
      <c r="D8" s="573" t="s">
        <v>1415</v>
      </c>
      <c r="E8" s="561">
        <f t="shared" si="0"/>
        <v>34500</v>
      </c>
      <c r="F8" s="574">
        <v>0</v>
      </c>
      <c r="G8" s="574">
        <v>0</v>
      </c>
      <c r="H8" s="574">
        <v>0</v>
      </c>
      <c r="I8" s="562">
        <v>0</v>
      </c>
      <c r="J8" s="562">
        <f>SUM('[3]MDA'!G40:G44)</f>
        <v>29750</v>
      </c>
      <c r="K8" s="562">
        <f>SUM('[3]MDA'!G40:G43)</f>
        <v>4750</v>
      </c>
      <c r="L8" s="562">
        <v>0</v>
      </c>
      <c r="M8" s="574">
        <v>0</v>
      </c>
      <c r="N8" s="574">
        <v>0</v>
      </c>
      <c r="O8" s="574">
        <v>0</v>
      </c>
      <c r="P8" s="574">
        <v>0</v>
      </c>
      <c r="Q8" s="574">
        <v>0</v>
      </c>
      <c r="R8" s="563" t="s">
        <v>1414</v>
      </c>
      <c r="S8" s="569"/>
      <c r="T8" s="569"/>
    </row>
    <row r="9" spans="1:20" ht="13.5">
      <c r="A9" s="555"/>
      <c r="B9" s="555"/>
      <c r="C9" s="555"/>
      <c r="D9" s="575"/>
      <c r="E9" s="576"/>
      <c r="F9" s="577"/>
      <c r="G9" s="577"/>
      <c r="H9" s="577"/>
      <c r="I9" s="577"/>
      <c r="J9" s="577"/>
      <c r="K9" s="577"/>
      <c r="L9" s="577"/>
      <c r="M9" s="577"/>
      <c r="N9" s="577"/>
      <c r="O9" s="577"/>
      <c r="P9" s="577"/>
      <c r="Q9" s="577"/>
      <c r="R9" s="578"/>
      <c r="S9" s="569"/>
      <c r="T9" s="569"/>
    </row>
    <row r="10" spans="1:20" ht="13.5">
      <c r="A10" s="555"/>
      <c r="B10" s="555"/>
      <c r="C10" s="555"/>
      <c r="D10" s="579"/>
      <c r="E10" s="580"/>
      <c r="F10" s="581"/>
      <c r="G10" s="581"/>
      <c r="H10" s="581"/>
      <c r="I10" s="581"/>
      <c r="J10" s="581"/>
      <c r="K10" s="581"/>
      <c r="L10" s="581"/>
      <c r="M10" s="581"/>
      <c r="N10" s="581"/>
      <c r="O10" s="581"/>
      <c r="P10" s="581"/>
      <c r="Q10" s="581"/>
      <c r="R10" s="582"/>
      <c r="S10" s="583"/>
      <c r="T10" s="583"/>
    </row>
    <row r="11" spans="1:20" ht="13.5">
      <c r="A11" s="844"/>
      <c r="B11" s="845"/>
      <c r="C11" s="845"/>
      <c r="D11" s="834"/>
      <c r="E11" s="548" t="s">
        <v>799</v>
      </c>
      <c r="F11" s="548" t="s">
        <v>1250</v>
      </c>
      <c r="G11" s="548" t="s">
        <v>1251</v>
      </c>
      <c r="H11" s="548" t="s">
        <v>1252</v>
      </c>
      <c r="I11" s="548" t="s">
        <v>1253</v>
      </c>
      <c r="J11" s="548" t="s">
        <v>1254</v>
      </c>
      <c r="K11" s="548" t="s">
        <v>1255</v>
      </c>
      <c r="L11" s="548" t="s">
        <v>1256</v>
      </c>
      <c r="M11" s="548" t="s">
        <v>1257</v>
      </c>
      <c r="N11" s="548" t="s">
        <v>1258</v>
      </c>
      <c r="O11" s="548" t="s">
        <v>1259</v>
      </c>
      <c r="P11" s="548" t="s">
        <v>1260</v>
      </c>
      <c r="Q11" s="548" t="s">
        <v>1261</v>
      </c>
      <c r="R11" s="584"/>
      <c r="S11" s="566"/>
      <c r="T11" s="566"/>
    </row>
    <row r="12" spans="1:20" ht="19.5">
      <c r="A12" s="550" t="s">
        <v>28</v>
      </c>
      <c r="B12" s="550" t="s">
        <v>1416</v>
      </c>
      <c r="C12" s="550" t="s">
        <v>522</v>
      </c>
      <c r="D12" s="585" t="s">
        <v>1417</v>
      </c>
      <c r="E12" s="552">
        <f t="shared" si="0"/>
        <v>24900</v>
      </c>
      <c r="F12" s="568">
        <v>0</v>
      </c>
      <c r="G12" s="568">
        <v>0</v>
      </c>
      <c r="H12" s="568">
        <v>0</v>
      </c>
      <c r="I12" s="568">
        <v>5500</v>
      </c>
      <c r="J12" s="568">
        <v>3250</v>
      </c>
      <c r="K12" s="568">
        <v>10750</v>
      </c>
      <c r="L12" s="568">
        <v>2450</v>
      </c>
      <c r="M12" s="568">
        <v>2950</v>
      </c>
      <c r="N12" s="568">
        <v>0</v>
      </c>
      <c r="O12" s="568">
        <v>0</v>
      </c>
      <c r="P12" s="568">
        <v>0</v>
      </c>
      <c r="Q12" s="568">
        <v>0</v>
      </c>
      <c r="R12" s="586" t="s">
        <v>1418</v>
      </c>
      <c r="S12" s="564"/>
      <c r="T12" s="564"/>
    </row>
    <row r="13" spans="1:20" ht="19.5">
      <c r="A13" s="555" t="s">
        <v>28</v>
      </c>
      <c r="B13" s="555" t="s">
        <v>1416</v>
      </c>
      <c r="C13" s="555" t="s">
        <v>524</v>
      </c>
      <c r="D13" s="570" t="s">
        <v>1417</v>
      </c>
      <c r="E13" s="557">
        <f t="shared" si="0"/>
        <v>40850</v>
      </c>
      <c r="F13" s="571">
        <v>4950</v>
      </c>
      <c r="G13" s="571">
        <v>5150</v>
      </c>
      <c r="H13" s="571">
        <v>0</v>
      </c>
      <c r="I13" s="571">
        <v>6350</v>
      </c>
      <c r="J13" s="571">
        <v>3500</v>
      </c>
      <c r="K13" s="571">
        <v>0</v>
      </c>
      <c r="L13" s="571">
        <v>3300</v>
      </c>
      <c r="M13" s="571">
        <v>6700</v>
      </c>
      <c r="N13" s="571">
        <v>6200</v>
      </c>
      <c r="O13" s="571">
        <v>0</v>
      </c>
      <c r="P13" s="571">
        <v>0</v>
      </c>
      <c r="Q13" s="571">
        <v>4700</v>
      </c>
      <c r="R13" s="587" t="s">
        <v>1418</v>
      </c>
      <c r="S13" s="564"/>
      <c r="T13" s="564"/>
    </row>
    <row r="14" spans="1:20" ht="19.5">
      <c r="A14" s="555" t="s">
        <v>28</v>
      </c>
      <c r="B14" s="555" t="s">
        <v>1416</v>
      </c>
      <c r="C14" s="555" t="s">
        <v>526</v>
      </c>
      <c r="D14" s="556" t="s">
        <v>1417</v>
      </c>
      <c r="E14" s="557">
        <f t="shared" si="0"/>
        <v>29000</v>
      </c>
      <c r="F14" s="571">
        <v>0</v>
      </c>
      <c r="G14" s="571">
        <v>5100</v>
      </c>
      <c r="H14" s="571">
        <v>3700</v>
      </c>
      <c r="I14" s="571">
        <v>0</v>
      </c>
      <c r="J14" s="571">
        <v>0</v>
      </c>
      <c r="K14" s="571">
        <v>4400</v>
      </c>
      <c r="L14" s="571">
        <v>4400</v>
      </c>
      <c r="M14" s="571">
        <v>4400</v>
      </c>
      <c r="N14" s="571">
        <v>0</v>
      </c>
      <c r="O14" s="571">
        <v>0</v>
      </c>
      <c r="P14" s="571">
        <v>7000</v>
      </c>
      <c r="Q14" s="571">
        <v>0</v>
      </c>
      <c r="R14" s="587" t="s">
        <v>1418</v>
      </c>
      <c r="S14" s="564"/>
      <c r="T14" s="564"/>
    </row>
    <row r="15" spans="1:20" ht="19.5">
      <c r="A15" s="555" t="s">
        <v>28</v>
      </c>
      <c r="B15" s="555" t="s">
        <v>536</v>
      </c>
      <c r="C15" s="555" t="s">
        <v>522</v>
      </c>
      <c r="D15" s="556" t="s">
        <v>1419</v>
      </c>
      <c r="E15" s="557">
        <f t="shared" si="0"/>
        <v>83200</v>
      </c>
      <c r="F15" s="571">
        <v>0</v>
      </c>
      <c r="G15" s="571">
        <v>0</v>
      </c>
      <c r="H15" s="571">
        <v>16000</v>
      </c>
      <c r="I15" s="571">
        <v>16000</v>
      </c>
      <c r="J15" s="571">
        <v>8600</v>
      </c>
      <c r="K15" s="558">
        <v>24900</v>
      </c>
      <c r="L15" s="571">
        <v>7600</v>
      </c>
      <c r="M15" s="571">
        <v>10100</v>
      </c>
      <c r="N15" s="571">
        <v>0</v>
      </c>
      <c r="O15" s="571">
        <v>0</v>
      </c>
      <c r="P15" s="571">
        <v>0</v>
      </c>
      <c r="Q15" s="571">
        <v>0</v>
      </c>
      <c r="R15" s="587" t="s">
        <v>1418</v>
      </c>
      <c r="S15" s="564"/>
      <c r="T15" s="564"/>
    </row>
    <row r="16" spans="1:20" ht="19.5">
      <c r="A16" s="555" t="s">
        <v>28</v>
      </c>
      <c r="B16" s="555" t="s">
        <v>536</v>
      </c>
      <c r="C16" s="555" t="s">
        <v>524</v>
      </c>
      <c r="D16" s="556" t="s">
        <v>1419</v>
      </c>
      <c r="E16" s="557">
        <f t="shared" si="0"/>
        <v>82700</v>
      </c>
      <c r="F16" s="571">
        <v>8200</v>
      </c>
      <c r="G16" s="571">
        <v>4400</v>
      </c>
      <c r="H16" s="571">
        <v>0</v>
      </c>
      <c r="I16" s="571">
        <v>8900</v>
      </c>
      <c r="J16" s="571">
        <v>7900</v>
      </c>
      <c r="K16" s="571">
        <v>0</v>
      </c>
      <c r="L16" s="571">
        <v>6500</v>
      </c>
      <c r="M16" s="571">
        <v>19800</v>
      </c>
      <c r="N16" s="571">
        <v>13600</v>
      </c>
      <c r="O16" s="571">
        <v>0</v>
      </c>
      <c r="P16" s="571">
        <v>0</v>
      </c>
      <c r="Q16" s="571">
        <v>13400</v>
      </c>
      <c r="R16" s="587" t="s">
        <v>1418</v>
      </c>
      <c r="S16" s="564"/>
      <c r="T16" s="564"/>
    </row>
    <row r="17" spans="1:20" ht="19.5">
      <c r="A17" s="560" t="s">
        <v>28</v>
      </c>
      <c r="B17" s="560" t="s">
        <v>536</v>
      </c>
      <c r="C17" s="560" t="s">
        <v>526</v>
      </c>
      <c r="D17" s="588" t="s">
        <v>1419</v>
      </c>
      <c r="E17" s="561">
        <f t="shared" si="0"/>
        <v>49900</v>
      </c>
      <c r="F17" s="574">
        <v>0</v>
      </c>
      <c r="G17" s="574">
        <v>5100</v>
      </c>
      <c r="H17" s="574">
        <v>6500</v>
      </c>
      <c r="I17" s="574">
        <v>0</v>
      </c>
      <c r="J17" s="574">
        <v>0</v>
      </c>
      <c r="K17" s="574">
        <v>5800</v>
      </c>
      <c r="L17" s="574">
        <v>10700</v>
      </c>
      <c r="M17" s="574">
        <v>9900</v>
      </c>
      <c r="N17" s="574">
        <v>0</v>
      </c>
      <c r="O17" s="574">
        <v>0</v>
      </c>
      <c r="P17" s="574">
        <v>11900</v>
      </c>
      <c r="Q17" s="574">
        <v>0</v>
      </c>
      <c r="R17" s="589" t="s">
        <v>1418</v>
      </c>
      <c r="S17" s="564"/>
      <c r="T17" s="564"/>
    </row>
    <row r="18" spans="1:20" ht="13.5">
      <c r="A18" s="555"/>
      <c r="B18" s="555"/>
      <c r="C18" s="555"/>
      <c r="D18" s="590"/>
      <c r="E18" s="576"/>
      <c r="F18" s="577"/>
      <c r="G18" s="577"/>
      <c r="H18" s="577"/>
      <c r="I18" s="577"/>
      <c r="J18" s="577"/>
      <c r="K18" s="577"/>
      <c r="L18" s="577"/>
      <c r="M18" s="577"/>
      <c r="N18" s="577"/>
      <c r="O18" s="577"/>
      <c r="P18" s="577"/>
      <c r="Q18" s="577"/>
      <c r="R18" s="591"/>
      <c r="S18" s="564"/>
      <c r="T18" s="564"/>
    </row>
    <row r="19" spans="1:20" ht="13.5">
      <c r="A19" s="555"/>
      <c r="B19" s="555"/>
      <c r="C19" s="564"/>
      <c r="D19" s="564"/>
      <c r="E19" s="564"/>
      <c r="F19" s="564"/>
      <c r="G19" s="564"/>
      <c r="H19" s="564"/>
      <c r="I19" s="564"/>
      <c r="J19" s="564"/>
      <c r="K19" s="564"/>
      <c r="L19" s="564"/>
      <c r="M19" s="564"/>
      <c r="N19" s="564"/>
      <c r="O19" s="564"/>
      <c r="P19" s="564"/>
      <c r="Q19" s="564"/>
      <c r="R19" s="564"/>
      <c r="S19" s="564"/>
      <c r="T19" s="564"/>
    </row>
    <row r="20" spans="1:20" ht="13.5">
      <c r="A20" s="844"/>
      <c r="B20" s="845"/>
      <c r="C20" s="845"/>
      <c r="D20" s="834"/>
      <c r="E20" s="548" t="s">
        <v>799</v>
      </c>
      <c r="F20" s="548" t="s">
        <v>1250</v>
      </c>
      <c r="G20" s="548" t="s">
        <v>1251</v>
      </c>
      <c r="H20" s="548" t="s">
        <v>1252</v>
      </c>
      <c r="I20" s="548" t="s">
        <v>1253</v>
      </c>
      <c r="J20" s="548" t="s">
        <v>1254</v>
      </c>
      <c r="K20" s="548" t="s">
        <v>1255</v>
      </c>
      <c r="L20" s="548" t="s">
        <v>1256</v>
      </c>
      <c r="M20" s="548" t="s">
        <v>1257</v>
      </c>
      <c r="N20" s="548" t="s">
        <v>1258</v>
      </c>
      <c r="O20" s="548" t="s">
        <v>1259</v>
      </c>
      <c r="P20" s="548" t="s">
        <v>1260</v>
      </c>
      <c r="Q20" s="548" t="s">
        <v>1261</v>
      </c>
      <c r="R20" s="549"/>
      <c r="S20" s="566"/>
      <c r="T20" s="566"/>
    </row>
    <row r="21" spans="1:20" ht="13.5">
      <c r="A21" s="592" t="s">
        <v>28</v>
      </c>
      <c r="B21" s="550" t="s">
        <v>1416</v>
      </c>
      <c r="C21" s="593" t="s">
        <v>1289</v>
      </c>
      <c r="D21" s="567" t="s">
        <v>1290</v>
      </c>
      <c r="E21" s="552">
        <f>SUM(F21:Q21)</f>
        <v>5000</v>
      </c>
      <c r="F21" s="568">
        <v>0</v>
      </c>
      <c r="G21" s="568">
        <v>0</v>
      </c>
      <c r="H21" s="568">
        <v>0</v>
      </c>
      <c r="I21" s="568">
        <v>0</v>
      </c>
      <c r="J21" s="568">
        <v>0</v>
      </c>
      <c r="K21" s="553">
        <v>5000</v>
      </c>
      <c r="L21" s="568">
        <v>0</v>
      </c>
      <c r="M21" s="568">
        <v>0</v>
      </c>
      <c r="N21" s="568">
        <v>0</v>
      </c>
      <c r="O21" s="568">
        <v>0</v>
      </c>
      <c r="P21" s="568">
        <v>0</v>
      </c>
      <c r="Q21" s="568">
        <v>0</v>
      </c>
      <c r="R21" s="594" t="s">
        <v>1420</v>
      </c>
      <c r="S21" s="564"/>
      <c r="T21" s="564"/>
    </row>
    <row r="22" spans="1:20" ht="13.5">
      <c r="A22" s="595" t="s">
        <v>28</v>
      </c>
      <c r="B22" s="595" t="s">
        <v>1416</v>
      </c>
      <c r="C22" s="596" t="s">
        <v>522</v>
      </c>
      <c r="D22" s="597" t="s">
        <v>1291</v>
      </c>
      <c r="E22" s="557">
        <f>SUM(F22:Q22)</f>
        <v>3500</v>
      </c>
      <c r="F22" s="598">
        <v>0</v>
      </c>
      <c r="G22" s="598">
        <v>0</v>
      </c>
      <c r="H22" s="598">
        <v>0</v>
      </c>
      <c r="I22" s="598">
        <v>3500</v>
      </c>
      <c r="J22" s="598">
        <v>0</v>
      </c>
      <c r="K22" s="598">
        <v>0</v>
      </c>
      <c r="L22" s="598">
        <v>0</v>
      </c>
      <c r="M22" s="598">
        <v>0</v>
      </c>
      <c r="N22" s="598">
        <v>0</v>
      </c>
      <c r="O22" s="598">
        <v>0</v>
      </c>
      <c r="P22" s="598">
        <v>0</v>
      </c>
      <c r="Q22" s="598">
        <v>0</v>
      </c>
      <c r="R22" s="599" t="s">
        <v>1421</v>
      </c>
      <c r="S22" s="564"/>
      <c r="T22" s="564"/>
    </row>
    <row r="23" spans="1:20" ht="13.5">
      <c r="A23" s="595" t="s">
        <v>28</v>
      </c>
      <c r="B23" s="595" t="s">
        <v>1416</v>
      </c>
      <c r="C23" s="596" t="s">
        <v>524</v>
      </c>
      <c r="D23" s="597" t="s">
        <v>1291</v>
      </c>
      <c r="E23" s="557">
        <f>SUM(F23:Q23)</f>
        <v>3500</v>
      </c>
      <c r="F23" s="598">
        <v>0</v>
      </c>
      <c r="G23" s="598">
        <v>0</v>
      </c>
      <c r="H23" s="598">
        <v>0</v>
      </c>
      <c r="I23" s="598">
        <v>0</v>
      </c>
      <c r="J23" s="598">
        <v>0</v>
      </c>
      <c r="K23" s="598">
        <v>3500</v>
      </c>
      <c r="L23" s="598">
        <v>0</v>
      </c>
      <c r="M23" s="598">
        <v>0</v>
      </c>
      <c r="N23" s="598">
        <v>0</v>
      </c>
      <c r="O23" s="598">
        <v>0</v>
      </c>
      <c r="P23" s="598">
        <v>0</v>
      </c>
      <c r="Q23" s="598">
        <v>0</v>
      </c>
      <c r="R23" s="599" t="s">
        <v>1421</v>
      </c>
      <c r="S23" s="564"/>
      <c r="T23" s="564"/>
    </row>
    <row r="24" spans="1:20" ht="13.5">
      <c r="A24" s="595" t="s">
        <v>28</v>
      </c>
      <c r="B24" s="595" t="s">
        <v>1416</v>
      </c>
      <c r="C24" s="596" t="s">
        <v>526</v>
      </c>
      <c r="D24" s="597" t="s">
        <v>1291</v>
      </c>
      <c r="E24" s="557">
        <f>SUM(F24:Q24)</f>
        <v>3500</v>
      </c>
      <c r="F24" s="598">
        <v>0</v>
      </c>
      <c r="G24" s="598">
        <v>0</v>
      </c>
      <c r="H24" s="598">
        <v>0</v>
      </c>
      <c r="I24" s="598">
        <v>0</v>
      </c>
      <c r="J24" s="598">
        <v>0</v>
      </c>
      <c r="K24" s="598">
        <v>0</v>
      </c>
      <c r="L24" s="598">
        <v>3500</v>
      </c>
      <c r="M24" s="598">
        <v>0</v>
      </c>
      <c r="N24" s="598">
        <v>0</v>
      </c>
      <c r="O24" s="598">
        <v>0</v>
      </c>
      <c r="P24" s="598">
        <v>0</v>
      </c>
      <c r="Q24" s="598">
        <v>0</v>
      </c>
      <c r="R24" s="599" t="s">
        <v>1421</v>
      </c>
      <c r="S24" s="564"/>
      <c r="T24" s="564"/>
    </row>
    <row r="25" spans="1:20" ht="13.5">
      <c r="A25" s="600" t="s">
        <v>28</v>
      </c>
      <c r="B25" s="600" t="s">
        <v>1416</v>
      </c>
      <c r="C25" s="601" t="s">
        <v>1263</v>
      </c>
      <c r="D25" s="602" t="s">
        <v>1291</v>
      </c>
      <c r="E25" s="561">
        <f>SUM(F25:Q25)</f>
        <v>3500</v>
      </c>
      <c r="F25" s="603">
        <v>0</v>
      </c>
      <c r="G25" s="603">
        <v>0</v>
      </c>
      <c r="H25" s="603">
        <v>0</v>
      </c>
      <c r="I25" s="603">
        <v>0</v>
      </c>
      <c r="J25" s="603">
        <v>0</v>
      </c>
      <c r="K25" s="603">
        <v>0</v>
      </c>
      <c r="L25" s="603">
        <v>3500</v>
      </c>
      <c r="M25" s="603">
        <v>0</v>
      </c>
      <c r="N25" s="603">
        <v>0</v>
      </c>
      <c r="O25" s="603">
        <v>0</v>
      </c>
      <c r="P25" s="603">
        <v>0</v>
      </c>
      <c r="Q25" s="603">
        <v>0</v>
      </c>
      <c r="R25" s="599" t="s">
        <v>1421</v>
      </c>
      <c r="S25" s="564"/>
      <c r="T25" s="564"/>
    </row>
    <row r="26" spans="1:20" ht="13.5">
      <c r="A26" s="564"/>
      <c r="B26" s="564"/>
      <c r="C26" s="564"/>
      <c r="D26" s="564"/>
      <c r="E26" s="564"/>
      <c r="F26" s="564"/>
      <c r="G26" s="564"/>
      <c r="H26" s="564"/>
      <c r="I26" s="564"/>
      <c r="J26" s="564"/>
      <c r="K26" s="564"/>
      <c r="L26" s="564"/>
      <c r="M26" s="564"/>
      <c r="N26" s="564"/>
      <c r="O26" s="564"/>
      <c r="P26" s="564"/>
      <c r="Q26" s="564"/>
      <c r="R26" s="564"/>
      <c r="S26" s="564"/>
      <c r="T26" s="564"/>
    </row>
    <row r="27" spans="1:20" ht="13.5">
      <c r="A27" s="564"/>
      <c r="B27" s="564"/>
      <c r="C27" s="564"/>
      <c r="D27" s="564"/>
      <c r="E27" s="564"/>
      <c r="F27" s="564"/>
      <c r="G27" s="564"/>
      <c r="H27" s="564"/>
      <c r="I27" s="564"/>
      <c r="J27" s="564"/>
      <c r="K27" s="564"/>
      <c r="L27" s="564"/>
      <c r="M27" s="564"/>
      <c r="N27" s="564"/>
      <c r="O27" s="564"/>
      <c r="P27" s="564"/>
      <c r="Q27" s="564"/>
      <c r="R27" s="564"/>
      <c r="S27" s="564"/>
      <c r="T27" s="564"/>
    </row>
    <row r="28" spans="1:20" ht="13.5">
      <c r="A28" s="564"/>
      <c r="B28" s="564"/>
      <c r="C28" s="564"/>
      <c r="D28" s="564"/>
      <c r="E28" s="564"/>
      <c r="F28" s="564"/>
      <c r="G28" s="564"/>
      <c r="H28" s="564"/>
      <c r="I28" s="564"/>
      <c r="J28" s="564"/>
      <c r="K28" s="564"/>
      <c r="L28" s="564"/>
      <c r="M28" s="564"/>
      <c r="N28" s="564"/>
      <c r="O28" s="564"/>
      <c r="P28" s="564"/>
      <c r="Q28" s="564"/>
      <c r="R28" s="564"/>
      <c r="S28" s="564"/>
      <c r="T28" s="564"/>
    </row>
    <row r="29" spans="1:20" ht="13.5">
      <c r="A29" s="564"/>
      <c r="B29" s="564"/>
      <c r="C29" s="564"/>
      <c r="D29" s="564"/>
      <c r="E29" s="564"/>
      <c r="F29" s="564"/>
      <c r="G29" s="564"/>
      <c r="H29" s="564"/>
      <c r="I29" s="564"/>
      <c r="J29" s="564"/>
      <c r="K29" s="564"/>
      <c r="L29" s="564"/>
      <c r="M29" s="564"/>
      <c r="N29" s="564"/>
      <c r="O29" s="564"/>
      <c r="P29" s="564"/>
      <c r="Q29" s="564"/>
      <c r="R29" s="564"/>
      <c r="S29" s="564"/>
      <c r="T29" s="564"/>
    </row>
    <row r="30" spans="1:20" ht="13.5">
      <c r="A30" s="564"/>
      <c r="B30" s="564"/>
      <c r="C30" s="564"/>
      <c r="D30" s="564"/>
      <c r="E30" s="564"/>
      <c r="F30" s="564"/>
      <c r="G30" s="564"/>
      <c r="H30" s="564"/>
      <c r="I30" s="564"/>
      <c r="J30" s="564"/>
      <c r="K30" s="564"/>
      <c r="L30" s="564"/>
      <c r="M30" s="564"/>
      <c r="N30" s="564"/>
      <c r="O30" s="564"/>
      <c r="P30" s="564"/>
      <c r="Q30" s="564"/>
      <c r="R30" s="564"/>
      <c r="S30" s="564"/>
      <c r="T30" s="564"/>
    </row>
    <row r="31" spans="1:20" ht="13.5">
      <c r="A31" s="564"/>
      <c r="B31" s="564"/>
      <c r="C31" s="564"/>
      <c r="D31" s="564"/>
      <c r="E31" s="564"/>
      <c r="F31" s="564"/>
      <c r="G31" s="564"/>
      <c r="H31" s="564"/>
      <c r="I31" s="564"/>
      <c r="J31" s="564"/>
      <c r="K31" s="564"/>
      <c r="L31" s="564"/>
      <c r="M31" s="564"/>
      <c r="N31" s="564"/>
      <c r="O31" s="564"/>
      <c r="P31" s="564"/>
      <c r="Q31" s="564"/>
      <c r="R31" s="564"/>
      <c r="S31" s="564"/>
      <c r="T31" s="564"/>
    </row>
    <row r="32" spans="1:20" ht="13.5">
      <c r="A32" s="564"/>
      <c r="B32" s="564"/>
      <c r="C32" s="564"/>
      <c r="D32" s="564"/>
      <c r="E32" s="564"/>
      <c r="F32" s="564"/>
      <c r="G32" s="564"/>
      <c r="H32" s="564"/>
      <c r="I32" s="564"/>
      <c r="J32" s="564"/>
      <c r="K32" s="564"/>
      <c r="L32" s="564"/>
      <c r="M32" s="564"/>
      <c r="N32" s="564"/>
      <c r="O32" s="564"/>
      <c r="P32" s="564"/>
      <c r="Q32" s="564"/>
      <c r="R32" s="564"/>
      <c r="S32" s="564"/>
      <c r="T32" s="564"/>
    </row>
    <row r="33" spans="1:20" ht="13.5">
      <c r="A33" s="564"/>
      <c r="B33" s="564"/>
      <c r="C33" s="564"/>
      <c r="D33" s="564"/>
      <c r="E33" s="564"/>
      <c r="F33" s="564"/>
      <c r="G33" s="564"/>
      <c r="H33" s="564"/>
      <c r="I33" s="564"/>
      <c r="J33" s="564"/>
      <c r="K33" s="564"/>
      <c r="L33" s="564"/>
      <c r="M33" s="564"/>
      <c r="N33" s="564"/>
      <c r="O33" s="564"/>
      <c r="P33" s="564"/>
      <c r="Q33" s="564"/>
      <c r="R33" s="564"/>
      <c r="S33" s="564"/>
      <c r="T33" s="564"/>
    </row>
    <row r="34" spans="1:20" ht="13.5">
      <c r="A34" s="564"/>
      <c r="B34" s="564"/>
      <c r="C34" s="564"/>
      <c r="D34" s="564"/>
      <c r="E34" s="564"/>
      <c r="F34" s="564"/>
      <c r="G34" s="564"/>
      <c r="H34" s="564"/>
      <c r="I34" s="564"/>
      <c r="J34" s="564"/>
      <c r="K34" s="564"/>
      <c r="L34" s="564"/>
      <c r="M34" s="564"/>
      <c r="N34" s="564"/>
      <c r="O34" s="564"/>
      <c r="P34" s="564"/>
      <c r="Q34" s="564"/>
      <c r="R34" s="564"/>
      <c r="S34" s="564"/>
      <c r="T34" s="564"/>
    </row>
    <row r="35" spans="1:20" ht="13.5">
      <c r="A35" s="564"/>
      <c r="B35" s="564"/>
      <c r="C35" s="564"/>
      <c r="D35" s="564"/>
      <c r="E35" s="564"/>
      <c r="F35" s="564"/>
      <c r="G35" s="564"/>
      <c r="H35" s="564"/>
      <c r="I35" s="564"/>
      <c r="J35" s="564"/>
      <c r="K35" s="564"/>
      <c r="L35" s="564"/>
      <c r="M35" s="564"/>
      <c r="N35" s="564"/>
      <c r="O35" s="564"/>
      <c r="P35" s="564"/>
      <c r="Q35" s="564"/>
      <c r="R35" s="564"/>
      <c r="S35" s="564"/>
      <c r="T35" s="564"/>
    </row>
    <row r="36" spans="1:20" ht="13.5">
      <c r="A36" s="564"/>
      <c r="B36" s="564"/>
      <c r="C36" s="564"/>
      <c r="D36" s="564"/>
      <c r="E36" s="564"/>
      <c r="F36" s="564"/>
      <c r="G36" s="564"/>
      <c r="H36" s="564"/>
      <c r="I36" s="564"/>
      <c r="J36" s="564"/>
      <c r="K36" s="564"/>
      <c r="L36" s="564"/>
      <c r="M36" s="564"/>
      <c r="N36" s="564"/>
      <c r="O36" s="564"/>
      <c r="P36" s="564"/>
      <c r="Q36" s="564"/>
      <c r="R36" s="564"/>
      <c r="S36" s="564"/>
      <c r="T36" s="564"/>
    </row>
    <row r="37" spans="1:20" ht="13.5">
      <c r="A37" s="564"/>
      <c r="B37" s="564"/>
      <c r="C37" s="564"/>
      <c r="D37" s="564"/>
      <c r="E37" s="564"/>
      <c r="F37" s="564"/>
      <c r="G37" s="564"/>
      <c r="H37" s="564"/>
      <c r="I37" s="564"/>
      <c r="J37" s="564"/>
      <c r="K37" s="564"/>
      <c r="L37" s="564"/>
      <c r="M37" s="564"/>
      <c r="N37" s="564"/>
      <c r="O37" s="564"/>
      <c r="P37" s="564"/>
      <c r="Q37" s="564"/>
      <c r="R37" s="564"/>
      <c r="S37" s="564"/>
      <c r="T37" s="564"/>
    </row>
  </sheetData>
  <sheetProtection/>
  <mergeCells count="7">
    <mergeCell ref="A20:D20"/>
    <mergeCell ref="F2:H2"/>
    <mergeCell ref="I2:K2"/>
    <mergeCell ref="L2:N2"/>
    <mergeCell ref="O2:Q2"/>
    <mergeCell ref="A3:D3"/>
    <mergeCell ref="A11:D11"/>
  </mergeCells>
  <printOp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dimension ref="A1:R168"/>
  <sheetViews>
    <sheetView workbookViewId="0" topLeftCell="A1">
      <selection activeCell="A1" sqref="A1"/>
    </sheetView>
  </sheetViews>
  <sheetFormatPr defaultColWidth="11.421875" defaultRowHeight="15"/>
  <sheetData>
    <row r="1" spans="1:18" ht="13.5">
      <c r="A1" s="331"/>
      <c r="B1" s="331"/>
      <c r="C1" s="331"/>
      <c r="D1" s="331"/>
      <c r="E1" s="331"/>
      <c r="F1" s="331"/>
      <c r="G1" s="331"/>
      <c r="H1" s="331"/>
      <c r="I1" s="331"/>
      <c r="J1" s="331"/>
      <c r="K1" s="331"/>
      <c r="L1" s="331"/>
      <c r="M1" s="331"/>
      <c r="N1" s="331"/>
      <c r="O1" s="331"/>
      <c r="P1" s="331"/>
      <c r="Q1" s="331"/>
      <c r="R1" s="331"/>
    </row>
    <row r="2" spans="1:18" ht="13.5">
      <c r="A2" s="331"/>
      <c r="B2" s="331"/>
      <c r="C2" s="331"/>
      <c r="D2" s="331"/>
      <c r="E2" s="335"/>
      <c r="F2" s="829" t="s">
        <v>1245</v>
      </c>
      <c r="G2" s="830"/>
      <c r="H2" s="830"/>
      <c r="I2" s="830" t="s">
        <v>1246</v>
      </c>
      <c r="J2" s="830"/>
      <c r="K2" s="830"/>
      <c r="L2" s="830" t="s">
        <v>1247</v>
      </c>
      <c r="M2" s="830"/>
      <c r="N2" s="830"/>
      <c r="O2" s="830" t="s">
        <v>1248</v>
      </c>
      <c r="P2" s="830"/>
      <c r="Q2" s="830"/>
      <c r="R2" s="331"/>
    </row>
    <row r="3" spans="1:18" ht="13.5">
      <c r="A3" s="842"/>
      <c r="B3" s="843"/>
      <c r="C3" s="843"/>
      <c r="D3" s="829"/>
      <c r="E3" s="396" t="s">
        <v>799</v>
      </c>
      <c r="F3" s="396" t="s">
        <v>1250</v>
      </c>
      <c r="G3" s="396" t="s">
        <v>1251</v>
      </c>
      <c r="H3" s="396" t="s">
        <v>1252</v>
      </c>
      <c r="I3" s="396" t="s">
        <v>1253</v>
      </c>
      <c r="J3" s="396" t="s">
        <v>1254</v>
      </c>
      <c r="K3" s="396" t="s">
        <v>1255</v>
      </c>
      <c r="L3" s="396" t="s">
        <v>1256</v>
      </c>
      <c r="M3" s="396" t="s">
        <v>1257</v>
      </c>
      <c r="N3" s="396" t="s">
        <v>1258</v>
      </c>
      <c r="O3" s="396" t="s">
        <v>1259</v>
      </c>
      <c r="P3" s="396" t="s">
        <v>1260</v>
      </c>
      <c r="Q3" s="396" t="s">
        <v>1261</v>
      </c>
      <c r="R3" s="475"/>
    </row>
    <row r="4" spans="1:18" ht="13.5">
      <c r="A4" s="476" t="s">
        <v>1327</v>
      </c>
      <c r="B4" s="476" t="s">
        <v>1352</v>
      </c>
      <c r="C4" s="476" t="s">
        <v>1262</v>
      </c>
      <c r="D4" s="477" t="s">
        <v>1353</v>
      </c>
      <c r="E4" s="478">
        <f>SUM(F4:Q4)</f>
        <v>4775</v>
      </c>
      <c r="F4" s="479">
        <f>G7+G8+G10+G11+G12+G13</f>
        <v>3775</v>
      </c>
      <c r="G4" s="479">
        <v>0</v>
      </c>
      <c r="H4" s="479">
        <f>G9+G14</f>
        <v>1000</v>
      </c>
      <c r="I4" s="479">
        <v>0</v>
      </c>
      <c r="J4" s="479">
        <v>0</v>
      </c>
      <c r="K4" s="479">
        <v>0</v>
      </c>
      <c r="L4" s="479">
        <v>0</v>
      </c>
      <c r="M4" s="479">
        <v>0</v>
      </c>
      <c r="N4" s="479">
        <v>0</v>
      </c>
      <c r="O4" s="479">
        <v>0</v>
      </c>
      <c r="P4" s="479">
        <v>0</v>
      </c>
      <c r="Q4" s="479">
        <v>0</v>
      </c>
      <c r="R4" s="480" t="s">
        <v>1354</v>
      </c>
    </row>
    <row r="5" spans="1:18" ht="13.5">
      <c r="A5" s="300"/>
      <c r="B5" s="300"/>
      <c r="C5" s="300"/>
      <c r="D5" s="481"/>
      <c r="E5" s="482"/>
      <c r="F5" s="483"/>
      <c r="G5" s="483"/>
      <c r="H5" s="483"/>
      <c r="I5" s="483"/>
      <c r="J5" s="483"/>
      <c r="K5" s="483"/>
      <c r="L5" s="483"/>
      <c r="M5" s="483"/>
      <c r="N5" s="483"/>
      <c r="O5" s="483"/>
      <c r="P5" s="483"/>
      <c r="Q5" s="483"/>
      <c r="R5" s="484"/>
    </row>
    <row r="6" spans="1:18" ht="13.5">
      <c r="A6" s="331"/>
      <c r="B6" s="331"/>
      <c r="C6" s="331"/>
      <c r="D6" s="331"/>
      <c r="E6" s="485" t="s">
        <v>505</v>
      </c>
      <c r="F6" s="485" t="s">
        <v>1355</v>
      </c>
      <c r="G6" s="485" t="s">
        <v>799</v>
      </c>
      <c r="H6" s="485" t="s">
        <v>90</v>
      </c>
      <c r="I6" s="483"/>
      <c r="J6" s="483"/>
      <c r="K6" s="483"/>
      <c r="L6" s="483"/>
      <c r="M6" s="483"/>
      <c r="N6" s="483"/>
      <c r="O6" s="483"/>
      <c r="P6" s="483"/>
      <c r="Q6" s="483"/>
      <c r="R6" s="484"/>
    </row>
    <row r="7" spans="1:18" ht="13.5">
      <c r="A7" s="864" t="s">
        <v>1356</v>
      </c>
      <c r="B7" s="864"/>
      <c r="C7" s="856" t="s">
        <v>1262</v>
      </c>
      <c r="D7" s="487" t="s">
        <v>1357</v>
      </c>
      <c r="E7" s="488">
        <v>1</v>
      </c>
      <c r="F7" s="488">
        <v>350</v>
      </c>
      <c r="G7" s="489">
        <f aca="true" t="shared" si="0" ref="G7:G14">E7*F7</f>
        <v>350</v>
      </c>
      <c r="H7" s="486" t="s">
        <v>1250</v>
      </c>
      <c r="I7" s="483"/>
      <c r="J7" s="483"/>
      <c r="K7" s="483"/>
      <c r="L7" s="483"/>
      <c r="M7" s="483"/>
      <c r="N7" s="483"/>
      <c r="O7" s="483"/>
      <c r="P7" s="483"/>
      <c r="Q7" s="483"/>
      <c r="R7" s="484"/>
    </row>
    <row r="8" spans="1:18" ht="13.5">
      <c r="A8" s="865"/>
      <c r="B8" s="865"/>
      <c r="C8" s="857"/>
      <c r="D8" s="490" t="s">
        <v>1358</v>
      </c>
      <c r="E8" s="491">
        <v>2</v>
      </c>
      <c r="F8" s="491">
        <v>250</v>
      </c>
      <c r="G8" s="492">
        <f t="shared" si="0"/>
        <v>500</v>
      </c>
      <c r="H8" s="354" t="s">
        <v>1250</v>
      </c>
      <c r="I8" s="483"/>
      <c r="J8" s="483"/>
      <c r="K8" s="483"/>
      <c r="L8" s="483"/>
      <c r="M8" s="483"/>
      <c r="N8" s="483"/>
      <c r="O8" s="483"/>
      <c r="P8" s="483"/>
      <c r="Q8" s="483"/>
      <c r="R8" s="484"/>
    </row>
    <row r="9" spans="1:18" ht="13.5">
      <c r="A9" s="865"/>
      <c r="B9" s="865"/>
      <c r="C9" s="857"/>
      <c r="D9" s="490" t="s">
        <v>1359</v>
      </c>
      <c r="E9" s="491">
        <v>1</v>
      </c>
      <c r="F9" s="491">
        <v>500</v>
      </c>
      <c r="G9" s="492">
        <f t="shared" si="0"/>
        <v>500</v>
      </c>
      <c r="H9" s="354" t="s">
        <v>1360</v>
      </c>
      <c r="I9" s="483"/>
      <c r="J9" s="483"/>
      <c r="K9" s="483"/>
      <c r="L9" s="483"/>
      <c r="M9" s="483"/>
      <c r="N9" s="483"/>
      <c r="O9" s="483"/>
      <c r="P9" s="483"/>
      <c r="Q9" s="483"/>
      <c r="R9" s="484"/>
    </row>
    <row r="10" spans="1:18" ht="13.5">
      <c r="A10" s="865"/>
      <c r="B10" s="865"/>
      <c r="C10" s="857"/>
      <c r="D10" s="490" t="s">
        <v>1361</v>
      </c>
      <c r="E10" s="491">
        <v>4</v>
      </c>
      <c r="F10" s="491">
        <v>200</v>
      </c>
      <c r="G10" s="492">
        <f t="shared" si="0"/>
        <v>800</v>
      </c>
      <c r="H10" s="354" t="s">
        <v>1250</v>
      </c>
      <c r="I10" s="483"/>
      <c r="J10" s="483"/>
      <c r="K10" s="483"/>
      <c r="L10" s="483"/>
      <c r="M10" s="483"/>
      <c r="N10" s="483"/>
      <c r="O10" s="483"/>
      <c r="P10" s="483"/>
      <c r="Q10" s="483"/>
      <c r="R10" s="484"/>
    </row>
    <row r="11" spans="1:18" ht="13.5">
      <c r="A11" s="865"/>
      <c r="B11" s="865"/>
      <c r="C11" s="857"/>
      <c r="D11" s="490" t="s">
        <v>1362</v>
      </c>
      <c r="E11" s="491">
        <v>25</v>
      </c>
      <c r="F11" s="491">
        <v>25</v>
      </c>
      <c r="G11" s="492">
        <f t="shared" si="0"/>
        <v>625</v>
      </c>
      <c r="H11" s="354" t="s">
        <v>1250</v>
      </c>
      <c r="I11" s="483"/>
      <c r="J11" s="483"/>
      <c r="K11" s="483"/>
      <c r="L11" s="483"/>
      <c r="M11" s="483"/>
      <c r="N11" s="483"/>
      <c r="O11" s="483"/>
      <c r="P11" s="483"/>
      <c r="Q11" s="483"/>
      <c r="R11" s="484"/>
    </row>
    <row r="12" spans="1:18" ht="13.5">
      <c r="A12" s="865"/>
      <c r="B12" s="865"/>
      <c r="C12" s="857"/>
      <c r="D12" s="490" t="s">
        <v>1363</v>
      </c>
      <c r="E12" s="491">
        <v>1</v>
      </c>
      <c r="F12" s="491">
        <v>500</v>
      </c>
      <c r="G12" s="492">
        <f t="shared" si="0"/>
        <v>500</v>
      </c>
      <c r="H12" s="354" t="s">
        <v>1250</v>
      </c>
      <c r="I12" s="483"/>
      <c r="J12" s="483"/>
      <c r="K12" s="483"/>
      <c r="L12" s="483"/>
      <c r="M12" s="483"/>
      <c r="N12" s="483"/>
      <c r="O12" s="483"/>
      <c r="P12" s="483"/>
      <c r="Q12" s="483"/>
      <c r="R12" s="484"/>
    </row>
    <row r="13" spans="1:18" ht="13.5">
      <c r="A13" s="865"/>
      <c r="B13" s="865"/>
      <c r="C13" s="857"/>
      <c r="D13" s="490" t="s">
        <v>1364</v>
      </c>
      <c r="E13" s="491">
        <v>4</v>
      </c>
      <c r="F13" s="491">
        <v>250</v>
      </c>
      <c r="G13" s="492">
        <f t="shared" si="0"/>
        <v>1000</v>
      </c>
      <c r="H13" s="354" t="s">
        <v>1250</v>
      </c>
      <c r="I13" s="483"/>
      <c r="J13" s="483"/>
      <c r="K13" s="483"/>
      <c r="L13" s="483"/>
      <c r="M13" s="483"/>
      <c r="N13" s="483"/>
      <c r="O13" s="483"/>
      <c r="P13" s="483"/>
      <c r="Q13" s="483"/>
      <c r="R13" s="484"/>
    </row>
    <row r="14" spans="1:18" ht="13.5">
      <c r="A14" s="866"/>
      <c r="B14" s="866"/>
      <c r="C14" s="858"/>
      <c r="D14" s="494" t="s">
        <v>1365</v>
      </c>
      <c r="E14" s="495">
        <v>1</v>
      </c>
      <c r="F14" s="495">
        <v>500</v>
      </c>
      <c r="G14" s="496">
        <f t="shared" si="0"/>
        <v>500</v>
      </c>
      <c r="H14" s="493" t="s">
        <v>1360</v>
      </c>
      <c r="I14" s="483"/>
      <c r="J14" s="483"/>
      <c r="K14" s="483"/>
      <c r="L14" s="483"/>
      <c r="M14" s="483"/>
      <c r="N14" s="483"/>
      <c r="O14" s="483"/>
      <c r="P14" s="483"/>
      <c r="Q14" s="483"/>
      <c r="R14" s="484"/>
    </row>
    <row r="15" spans="1:18" ht="13.5">
      <c r="A15" s="497"/>
      <c r="B15" s="497"/>
      <c r="C15" s="498"/>
      <c r="D15" s="499"/>
      <c r="E15" s="500"/>
      <c r="F15" s="500"/>
      <c r="G15" s="500"/>
      <c r="H15" s="498"/>
      <c r="I15" s="483"/>
      <c r="J15" s="483"/>
      <c r="K15" s="483"/>
      <c r="L15" s="483"/>
      <c r="M15" s="483"/>
      <c r="N15" s="483"/>
      <c r="O15" s="483"/>
      <c r="P15" s="483"/>
      <c r="Q15" s="483"/>
      <c r="R15" s="484"/>
    </row>
    <row r="16" spans="1:18" ht="13.5">
      <c r="A16" s="842"/>
      <c r="B16" s="843"/>
      <c r="C16" s="843"/>
      <c r="D16" s="829"/>
      <c r="E16" s="396" t="s">
        <v>799</v>
      </c>
      <c r="F16" s="396" t="s">
        <v>1250</v>
      </c>
      <c r="G16" s="396" t="s">
        <v>1251</v>
      </c>
      <c r="H16" s="396" t="s">
        <v>1252</v>
      </c>
      <c r="I16" s="396" t="s">
        <v>1253</v>
      </c>
      <c r="J16" s="396" t="s">
        <v>1254</v>
      </c>
      <c r="K16" s="396" t="s">
        <v>1255</v>
      </c>
      <c r="L16" s="396" t="s">
        <v>1256</v>
      </c>
      <c r="M16" s="396" t="s">
        <v>1257</v>
      </c>
      <c r="N16" s="396" t="s">
        <v>1258</v>
      </c>
      <c r="O16" s="396" t="s">
        <v>1259</v>
      </c>
      <c r="P16" s="396" t="s">
        <v>1260</v>
      </c>
      <c r="Q16" s="396" t="s">
        <v>1261</v>
      </c>
      <c r="R16" s="475"/>
    </row>
    <row r="17" spans="1:18" ht="13.5">
      <c r="A17" s="476" t="s">
        <v>1327</v>
      </c>
      <c r="B17" s="476" t="s">
        <v>1352</v>
      </c>
      <c r="C17" s="476" t="s">
        <v>1289</v>
      </c>
      <c r="D17" s="477" t="s">
        <v>1353</v>
      </c>
      <c r="E17" s="478">
        <f>SUM(F17:Q17)</f>
        <v>5300</v>
      </c>
      <c r="F17" s="479">
        <v>0</v>
      </c>
      <c r="G17" s="479">
        <f>SUM(G20:G27)</f>
        <v>5300</v>
      </c>
      <c r="H17" s="479">
        <v>0</v>
      </c>
      <c r="I17" s="479">
        <v>0</v>
      </c>
      <c r="J17" s="479">
        <v>0</v>
      </c>
      <c r="K17" s="479">
        <v>0</v>
      </c>
      <c r="L17" s="479">
        <v>0</v>
      </c>
      <c r="M17" s="479">
        <v>0</v>
      </c>
      <c r="N17" s="479">
        <v>0</v>
      </c>
      <c r="O17" s="479">
        <v>0</v>
      </c>
      <c r="P17" s="479">
        <v>0</v>
      </c>
      <c r="Q17" s="479">
        <v>0</v>
      </c>
      <c r="R17" s="480" t="s">
        <v>1354</v>
      </c>
    </row>
    <row r="18" spans="1:18" ht="13.5">
      <c r="A18" s="300"/>
      <c r="B18" s="300"/>
      <c r="C18" s="300"/>
      <c r="D18" s="481"/>
      <c r="E18" s="482"/>
      <c r="F18" s="483"/>
      <c r="G18" s="483"/>
      <c r="H18" s="483"/>
      <c r="I18" s="483"/>
      <c r="J18" s="483"/>
      <c r="K18" s="483"/>
      <c r="L18" s="483"/>
      <c r="M18" s="483"/>
      <c r="N18" s="483"/>
      <c r="O18" s="483"/>
      <c r="P18" s="483"/>
      <c r="Q18" s="483"/>
      <c r="R18" s="484"/>
    </row>
    <row r="19" spans="1:18" ht="13.5">
      <c r="A19" s="331"/>
      <c r="B19" s="331"/>
      <c r="C19" s="331"/>
      <c r="D19" s="331"/>
      <c r="E19" s="485" t="s">
        <v>505</v>
      </c>
      <c r="F19" s="485" t="s">
        <v>1355</v>
      </c>
      <c r="G19" s="485" t="s">
        <v>799</v>
      </c>
      <c r="H19" s="485" t="s">
        <v>90</v>
      </c>
      <c r="I19" s="483"/>
      <c r="J19" s="483"/>
      <c r="K19" s="483"/>
      <c r="L19" s="483"/>
      <c r="M19" s="483"/>
      <c r="N19" s="483"/>
      <c r="O19" s="483"/>
      <c r="P19" s="483"/>
      <c r="Q19" s="483"/>
      <c r="R19" s="484"/>
    </row>
    <row r="20" spans="1:18" ht="13.5">
      <c r="A20" s="850" t="s">
        <v>1356</v>
      </c>
      <c r="B20" s="851"/>
      <c r="C20" s="862" t="s">
        <v>1289</v>
      </c>
      <c r="D20" s="487" t="s">
        <v>1366</v>
      </c>
      <c r="E20" s="488">
        <v>2</v>
      </c>
      <c r="F20" s="488">
        <v>250</v>
      </c>
      <c r="G20" s="489">
        <f aca="true" t="shared" si="1" ref="G20:G27">E20*F20</f>
        <v>500</v>
      </c>
      <c r="H20" s="486" t="s">
        <v>1251</v>
      </c>
      <c r="I20" s="483"/>
      <c r="J20" s="483"/>
      <c r="K20" s="483"/>
      <c r="L20" s="483"/>
      <c r="M20" s="483"/>
      <c r="N20" s="483"/>
      <c r="O20" s="483"/>
      <c r="P20" s="483"/>
      <c r="Q20" s="483"/>
      <c r="R20" s="484"/>
    </row>
    <row r="21" spans="1:18" ht="13.5">
      <c r="A21" s="852"/>
      <c r="B21" s="853"/>
      <c r="C21" s="867"/>
      <c r="D21" s="490" t="s">
        <v>1367</v>
      </c>
      <c r="E21" s="491">
        <v>4</v>
      </c>
      <c r="F21" s="491">
        <v>250</v>
      </c>
      <c r="G21" s="501">
        <f t="shared" si="1"/>
        <v>1000</v>
      </c>
      <c r="H21" s="354" t="s">
        <v>1251</v>
      </c>
      <c r="I21" s="483"/>
      <c r="J21" s="483"/>
      <c r="K21" s="483"/>
      <c r="L21" s="483"/>
      <c r="M21" s="483"/>
      <c r="N21" s="483"/>
      <c r="O21" s="483"/>
      <c r="P21" s="483"/>
      <c r="Q21" s="483"/>
      <c r="R21" s="484"/>
    </row>
    <row r="22" spans="1:18" ht="13.5">
      <c r="A22" s="852"/>
      <c r="B22" s="853"/>
      <c r="C22" s="867"/>
      <c r="D22" s="490" t="s">
        <v>1368</v>
      </c>
      <c r="E22" s="491">
        <v>2</v>
      </c>
      <c r="F22" s="491">
        <v>150</v>
      </c>
      <c r="G22" s="501">
        <f t="shared" si="1"/>
        <v>300</v>
      </c>
      <c r="H22" s="354" t="s">
        <v>1251</v>
      </c>
      <c r="I22" s="483"/>
      <c r="J22" s="483"/>
      <c r="K22" s="483"/>
      <c r="L22" s="483"/>
      <c r="M22" s="483"/>
      <c r="N22" s="483"/>
      <c r="O22" s="483"/>
      <c r="P22" s="483"/>
      <c r="Q22" s="483"/>
      <c r="R22" s="484"/>
    </row>
    <row r="23" spans="1:18" ht="13.5">
      <c r="A23" s="852"/>
      <c r="B23" s="853"/>
      <c r="C23" s="867"/>
      <c r="D23" s="490" t="s">
        <v>1365</v>
      </c>
      <c r="E23" s="491">
        <v>1</v>
      </c>
      <c r="F23" s="491">
        <v>500</v>
      </c>
      <c r="G23" s="501">
        <f t="shared" si="1"/>
        <v>500</v>
      </c>
      <c r="H23" s="354" t="s">
        <v>1251</v>
      </c>
      <c r="I23" s="483"/>
      <c r="J23" s="483"/>
      <c r="K23" s="483"/>
      <c r="L23" s="483"/>
      <c r="M23" s="483"/>
      <c r="N23" s="483"/>
      <c r="O23" s="483"/>
      <c r="P23" s="483"/>
      <c r="Q23" s="483"/>
      <c r="R23" s="484"/>
    </row>
    <row r="24" spans="1:18" ht="13.5">
      <c r="A24" s="852"/>
      <c r="B24" s="853"/>
      <c r="C24" s="867"/>
      <c r="D24" s="490" t="s">
        <v>1369</v>
      </c>
      <c r="E24" s="491">
        <v>1</v>
      </c>
      <c r="F24" s="491">
        <v>500</v>
      </c>
      <c r="G24" s="501">
        <f t="shared" si="1"/>
        <v>500</v>
      </c>
      <c r="H24" s="354" t="s">
        <v>1251</v>
      </c>
      <c r="I24" s="483"/>
      <c r="J24" s="483"/>
      <c r="K24" s="483"/>
      <c r="L24" s="483"/>
      <c r="M24" s="483"/>
      <c r="N24" s="483"/>
      <c r="O24" s="483"/>
      <c r="P24" s="483"/>
      <c r="Q24" s="483"/>
      <c r="R24" s="484"/>
    </row>
    <row r="25" spans="1:18" ht="13.5">
      <c r="A25" s="852"/>
      <c r="B25" s="853"/>
      <c r="C25" s="867"/>
      <c r="D25" s="490" t="s">
        <v>1370</v>
      </c>
      <c r="E25" s="491">
        <v>1</v>
      </c>
      <c r="F25" s="491">
        <v>750</v>
      </c>
      <c r="G25" s="501">
        <f t="shared" si="1"/>
        <v>750</v>
      </c>
      <c r="H25" s="354" t="s">
        <v>1251</v>
      </c>
      <c r="I25" s="483"/>
      <c r="J25" s="483"/>
      <c r="K25" s="483"/>
      <c r="L25" s="483"/>
      <c r="M25" s="483"/>
      <c r="N25" s="483"/>
      <c r="O25" s="483"/>
      <c r="P25" s="483"/>
      <c r="Q25" s="483"/>
      <c r="R25" s="484"/>
    </row>
    <row r="26" spans="1:18" ht="13.5">
      <c r="A26" s="852"/>
      <c r="B26" s="853"/>
      <c r="C26" s="867"/>
      <c r="D26" s="490" t="s">
        <v>1371</v>
      </c>
      <c r="E26" s="491">
        <v>2</v>
      </c>
      <c r="F26" s="491">
        <v>500</v>
      </c>
      <c r="G26" s="501">
        <f t="shared" si="1"/>
        <v>1000</v>
      </c>
      <c r="H26" s="354" t="s">
        <v>1251</v>
      </c>
      <c r="I26" s="483"/>
      <c r="J26" s="483"/>
      <c r="K26" s="483"/>
      <c r="L26" s="483"/>
      <c r="M26" s="483"/>
      <c r="N26" s="483"/>
      <c r="O26" s="483"/>
      <c r="P26" s="483"/>
      <c r="Q26" s="483"/>
      <c r="R26" s="484"/>
    </row>
    <row r="27" spans="1:18" ht="13.5">
      <c r="A27" s="854"/>
      <c r="B27" s="855"/>
      <c r="C27" s="863"/>
      <c r="D27" s="494" t="s">
        <v>1372</v>
      </c>
      <c r="E27" s="495">
        <v>1</v>
      </c>
      <c r="F27" s="495">
        <v>750</v>
      </c>
      <c r="G27" s="496">
        <f t="shared" si="1"/>
        <v>750</v>
      </c>
      <c r="H27" s="493" t="s">
        <v>1251</v>
      </c>
      <c r="I27" s="502"/>
      <c r="J27" s="483"/>
      <c r="K27" s="483"/>
      <c r="L27" s="483"/>
      <c r="M27" s="483"/>
      <c r="N27" s="483"/>
      <c r="O27" s="483"/>
      <c r="P27" s="483"/>
      <c r="Q27" s="483"/>
      <c r="R27" s="484"/>
    </row>
    <row r="28" spans="1:18" ht="13.5">
      <c r="A28" s="497"/>
      <c r="B28" s="497"/>
      <c r="C28" s="498"/>
      <c r="D28" s="499"/>
      <c r="E28" s="500"/>
      <c r="F28" s="500"/>
      <c r="G28" s="500"/>
      <c r="H28" s="498"/>
      <c r="I28" s="483"/>
      <c r="J28" s="483"/>
      <c r="K28" s="483"/>
      <c r="L28" s="483"/>
      <c r="M28" s="483"/>
      <c r="N28" s="483"/>
      <c r="O28" s="483"/>
      <c r="P28" s="483"/>
      <c r="Q28" s="483"/>
      <c r="R28" s="484"/>
    </row>
    <row r="29" spans="1:18" ht="13.5">
      <c r="A29" s="842"/>
      <c r="B29" s="843"/>
      <c r="C29" s="843"/>
      <c r="D29" s="829"/>
      <c r="E29" s="396" t="s">
        <v>799</v>
      </c>
      <c r="F29" s="396" t="s">
        <v>1250</v>
      </c>
      <c r="G29" s="396" t="s">
        <v>1251</v>
      </c>
      <c r="H29" s="396" t="s">
        <v>1252</v>
      </c>
      <c r="I29" s="396" t="s">
        <v>1253</v>
      </c>
      <c r="J29" s="396" t="s">
        <v>1254</v>
      </c>
      <c r="K29" s="396" t="s">
        <v>1255</v>
      </c>
      <c r="L29" s="396" t="s">
        <v>1256</v>
      </c>
      <c r="M29" s="396" t="s">
        <v>1257</v>
      </c>
      <c r="N29" s="396" t="s">
        <v>1258</v>
      </c>
      <c r="O29" s="396" t="s">
        <v>1259</v>
      </c>
      <c r="P29" s="396" t="s">
        <v>1260</v>
      </c>
      <c r="Q29" s="396" t="s">
        <v>1261</v>
      </c>
      <c r="R29" s="475"/>
    </row>
    <row r="30" spans="1:18" ht="13.5">
      <c r="A30" s="476" t="s">
        <v>1327</v>
      </c>
      <c r="B30" s="476" t="s">
        <v>1352</v>
      </c>
      <c r="C30" s="476" t="s">
        <v>524</v>
      </c>
      <c r="D30" s="477" t="s">
        <v>1353</v>
      </c>
      <c r="E30" s="478">
        <f>SUM(F30:Q30)</f>
        <v>4450</v>
      </c>
      <c r="F30" s="479">
        <f>SUM(G33:G38)</f>
        <v>4450</v>
      </c>
      <c r="G30" s="479">
        <v>0</v>
      </c>
      <c r="H30" s="479">
        <v>0</v>
      </c>
      <c r="I30" s="479">
        <v>0</v>
      </c>
      <c r="J30" s="479">
        <v>0</v>
      </c>
      <c r="K30" s="479">
        <v>0</v>
      </c>
      <c r="L30" s="479">
        <v>0</v>
      </c>
      <c r="M30" s="479">
        <v>0</v>
      </c>
      <c r="N30" s="479">
        <v>0</v>
      </c>
      <c r="O30" s="479">
        <v>0</v>
      </c>
      <c r="P30" s="479">
        <v>0</v>
      </c>
      <c r="Q30" s="479">
        <v>0</v>
      </c>
      <c r="R30" s="480" t="s">
        <v>1354</v>
      </c>
    </row>
    <row r="31" spans="1:18" ht="13.5">
      <c r="A31" s="300"/>
      <c r="B31" s="300"/>
      <c r="C31" s="300"/>
      <c r="D31" s="481"/>
      <c r="E31" s="482"/>
      <c r="F31" s="483"/>
      <c r="G31" s="483"/>
      <c r="H31" s="483"/>
      <c r="I31" s="483"/>
      <c r="J31" s="483"/>
      <c r="K31" s="483"/>
      <c r="L31" s="483"/>
      <c r="M31" s="483"/>
      <c r="N31" s="483"/>
      <c r="O31" s="483"/>
      <c r="P31" s="483"/>
      <c r="Q31" s="483"/>
      <c r="R31" s="484"/>
    </row>
    <row r="32" spans="1:18" ht="13.5">
      <c r="A32" s="331"/>
      <c r="B32" s="331"/>
      <c r="C32" s="331"/>
      <c r="D32" s="331"/>
      <c r="E32" s="485" t="s">
        <v>505</v>
      </c>
      <c r="F32" s="485" t="s">
        <v>1355</v>
      </c>
      <c r="G32" s="485" t="s">
        <v>799</v>
      </c>
      <c r="H32" s="485" t="s">
        <v>90</v>
      </c>
      <c r="I32" s="483"/>
      <c r="J32" s="483"/>
      <c r="K32" s="483"/>
      <c r="L32" s="483"/>
      <c r="M32" s="483"/>
      <c r="N32" s="483"/>
      <c r="O32" s="483"/>
      <c r="P32" s="483"/>
      <c r="Q32" s="483"/>
      <c r="R32" s="484"/>
    </row>
    <row r="33" spans="1:18" ht="13.5">
      <c r="A33" s="850" t="s">
        <v>1356</v>
      </c>
      <c r="B33" s="851"/>
      <c r="C33" s="856" t="s">
        <v>524</v>
      </c>
      <c r="D33" s="487" t="s">
        <v>1370</v>
      </c>
      <c r="E33" s="488">
        <v>2</v>
      </c>
      <c r="F33" s="488">
        <v>600</v>
      </c>
      <c r="G33" s="489">
        <f aca="true" t="shared" si="2" ref="G33:G38">E33*F33</f>
        <v>1200</v>
      </c>
      <c r="H33" s="486" t="s">
        <v>1250</v>
      </c>
      <c r="I33" s="503"/>
      <c r="J33" s="483"/>
      <c r="K33" s="483"/>
      <c r="L33" s="483"/>
      <c r="M33" s="483"/>
      <c r="N33" s="483"/>
      <c r="O33" s="483"/>
      <c r="P33" s="483"/>
      <c r="Q33" s="483"/>
      <c r="R33" s="484"/>
    </row>
    <row r="34" spans="1:18" ht="13.5">
      <c r="A34" s="852"/>
      <c r="B34" s="853"/>
      <c r="C34" s="857"/>
      <c r="D34" s="490" t="s">
        <v>1367</v>
      </c>
      <c r="E34" s="491">
        <v>2</v>
      </c>
      <c r="F34" s="491">
        <v>250</v>
      </c>
      <c r="G34" s="501">
        <f t="shared" si="2"/>
        <v>500</v>
      </c>
      <c r="H34" s="354" t="s">
        <v>1250</v>
      </c>
      <c r="I34" s="483"/>
      <c r="J34" s="483"/>
      <c r="K34" s="483"/>
      <c r="L34" s="483"/>
      <c r="M34" s="483"/>
      <c r="N34" s="483"/>
      <c r="O34" s="483"/>
      <c r="P34" s="483"/>
      <c r="Q34" s="483"/>
      <c r="R34" s="484"/>
    </row>
    <row r="35" spans="1:18" ht="13.5">
      <c r="A35" s="852"/>
      <c r="B35" s="853"/>
      <c r="C35" s="857"/>
      <c r="D35" s="490" t="s">
        <v>1371</v>
      </c>
      <c r="E35" s="491">
        <v>2</v>
      </c>
      <c r="F35" s="491">
        <v>500</v>
      </c>
      <c r="G35" s="501">
        <f t="shared" si="2"/>
        <v>1000</v>
      </c>
      <c r="H35" s="354" t="s">
        <v>1250</v>
      </c>
      <c r="I35" s="483"/>
      <c r="J35" s="483"/>
      <c r="K35" s="483"/>
      <c r="L35" s="483"/>
      <c r="M35" s="483"/>
      <c r="N35" s="483"/>
      <c r="O35" s="483"/>
      <c r="P35" s="483"/>
      <c r="Q35" s="483"/>
      <c r="R35" s="484"/>
    </row>
    <row r="36" spans="1:18" ht="13.5">
      <c r="A36" s="852"/>
      <c r="B36" s="853"/>
      <c r="C36" s="857"/>
      <c r="D36" s="490" t="s">
        <v>1372</v>
      </c>
      <c r="E36" s="491">
        <v>1</v>
      </c>
      <c r="F36" s="491">
        <v>750</v>
      </c>
      <c r="G36" s="501">
        <f t="shared" si="2"/>
        <v>750</v>
      </c>
      <c r="H36" s="354" t="s">
        <v>1250</v>
      </c>
      <c r="I36" s="483"/>
      <c r="J36" s="483"/>
      <c r="K36" s="483"/>
      <c r="L36" s="483"/>
      <c r="M36" s="483"/>
      <c r="N36" s="483"/>
      <c r="O36" s="483"/>
      <c r="P36" s="483"/>
      <c r="Q36" s="483"/>
      <c r="R36" s="484"/>
    </row>
    <row r="37" spans="1:18" ht="13.5">
      <c r="A37" s="852"/>
      <c r="B37" s="853"/>
      <c r="C37" s="857"/>
      <c r="D37" s="490" t="s">
        <v>1365</v>
      </c>
      <c r="E37" s="491">
        <v>1</v>
      </c>
      <c r="F37" s="491">
        <v>500</v>
      </c>
      <c r="G37" s="501">
        <f t="shared" si="2"/>
        <v>500</v>
      </c>
      <c r="H37" s="354" t="s">
        <v>1250</v>
      </c>
      <c r="I37" s="483"/>
      <c r="J37" s="483"/>
      <c r="K37" s="483"/>
      <c r="L37" s="483"/>
      <c r="M37" s="483"/>
      <c r="N37" s="483"/>
      <c r="O37" s="483"/>
      <c r="P37" s="483"/>
      <c r="Q37" s="483"/>
      <c r="R37" s="484"/>
    </row>
    <row r="38" spans="1:18" ht="13.5">
      <c r="A38" s="854"/>
      <c r="B38" s="855"/>
      <c r="C38" s="858"/>
      <c r="D38" s="494" t="s">
        <v>1369</v>
      </c>
      <c r="E38" s="495">
        <v>1</v>
      </c>
      <c r="F38" s="495">
        <v>500</v>
      </c>
      <c r="G38" s="496">
        <f t="shared" si="2"/>
        <v>500</v>
      </c>
      <c r="H38" s="493" t="s">
        <v>1250</v>
      </c>
      <c r="I38" s="502"/>
      <c r="J38" s="483"/>
      <c r="K38" s="483"/>
      <c r="L38" s="483"/>
      <c r="M38" s="483"/>
      <c r="N38" s="483"/>
      <c r="O38" s="483"/>
      <c r="P38" s="483"/>
      <c r="Q38" s="483"/>
      <c r="R38" s="484"/>
    </row>
    <row r="39" spans="1:18" ht="13.5">
      <c r="A39" s="300"/>
      <c r="B39" s="300"/>
      <c r="C39" s="300"/>
      <c r="D39" s="481"/>
      <c r="E39" s="482"/>
      <c r="F39" s="483"/>
      <c r="G39" s="483"/>
      <c r="H39" s="483"/>
      <c r="I39" s="483"/>
      <c r="J39" s="483"/>
      <c r="K39" s="483"/>
      <c r="L39" s="483"/>
      <c r="M39" s="483"/>
      <c r="N39" s="483"/>
      <c r="O39" s="483"/>
      <c r="P39" s="483"/>
      <c r="Q39" s="483"/>
      <c r="R39" s="484"/>
    </row>
    <row r="40" spans="1:18" ht="13.5">
      <c r="A40" s="842"/>
      <c r="B40" s="843"/>
      <c r="C40" s="843"/>
      <c r="D40" s="829"/>
      <c r="E40" s="396" t="s">
        <v>799</v>
      </c>
      <c r="F40" s="396" t="s">
        <v>1250</v>
      </c>
      <c r="G40" s="396" t="s">
        <v>1251</v>
      </c>
      <c r="H40" s="396" t="s">
        <v>1252</v>
      </c>
      <c r="I40" s="396" t="s">
        <v>1253</v>
      </c>
      <c r="J40" s="396" t="s">
        <v>1254</v>
      </c>
      <c r="K40" s="396" t="s">
        <v>1255</v>
      </c>
      <c r="L40" s="396" t="s">
        <v>1256</v>
      </c>
      <c r="M40" s="396" t="s">
        <v>1257</v>
      </c>
      <c r="N40" s="396" t="s">
        <v>1258</v>
      </c>
      <c r="O40" s="396" t="s">
        <v>1259</v>
      </c>
      <c r="P40" s="396" t="s">
        <v>1260</v>
      </c>
      <c r="Q40" s="396" t="s">
        <v>1261</v>
      </c>
      <c r="R40" s="475"/>
    </row>
    <row r="41" spans="1:18" ht="13.5">
      <c r="A41" s="476" t="s">
        <v>1327</v>
      </c>
      <c r="B41" s="476" t="s">
        <v>1352</v>
      </c>
      <c r="C41" s="476" t="s">
        <v>526</v>
      </c>
      <c r="D41" s="477" t="s">
        <v>1353</v>
      </c>
      <c r="E41" s="478">
        <f>SUM(F41:Q41)</f>
        <v>500</v>
      </c>
      <c r="F41" s="479">
        <v>0</v>
      </c>
      <c r="G41" s="479">
        <v>0</v>
      </c>
      <c r="H41" s="479">
        <v>0</v>
      </c>
      <c r="I41" s="479">
        <f>G44</f>
        <v>500</v>
      </c>
      <c r="J41" s="479">
        <v>0</v>
      </c>
      <c r="K41" s="479">
        <v>0</v>
      </c>
      <c r="L41" s="479">
        <v>0</v>
      </c>
      <c r="M41" s="479">
        <v>0</v>
      </c>
      <c r="N41" s="479">
        <v>0</v>
      </c>
      <c r="O41" s="479">
        <v>0</v>
      </c>
      <c r="P41" s="479">
        <v>0</v>
      </c>
      <c r="Q41" s="479">
        <v>0</v>
      </c>
      <c r="R41" s="480" t="s">
        <v>1354</v>
      </c>
    </row>
    <row r="42" spans="1:18" ht="13.5">
      <c r="A42" s="300"/>
      <c r="B42" s="300"/>
      <c r="C42" s="300"/>
      <c r="D42" s="481"/>
      <c r="E42" s="482"/>
      <c r="F42" s="483"/>
      <c r="G42" s="483"/>
      <c r="H42" s="483"/>
      <c r="I42" s="483"/>
      <c r="J42" s="483"/>
      <c r="K42" s="483"/>
      <c r="L42" s="483"/>
      <c r="M42" s="483"/>
      <c r="N42" s="483"/>
      <c r="O42" s="483"/>
      <c r="P42" s="483"/>
      <c r="Q42" s="483"/>
      <c r="R42" s="484"/>
    </row>
    <row r="43" spans="1:18" ht="13.5">
      <c r="A43" s="331"/>
      <c r="B43" s="331"/>
      <c r="C43" s="331"/>
      <c r="D43" s="331"/>
      <c r="E43" s="485" t="s">
        <v>505</v>
      </c>
      <c r="F43" s="485" t="s">
        <v>1355</v>
      </c>
      <c r="G43" s="485" t="s">
        <v>799</v>
      </c>
      <c r="H43" s="485" t="s">
        <v>90</v>
      </c>
      <c r="I43" s="483"/>
      <c r="J43" s="483"/>
      <c r="K43" s="483"/>
      <c r="L43" s="483"/>
      <c r="M43" s="483"/>
      <c r="N43" s="483"/>
      <c r="O43" s="483"/>
      <c r="P43" s="483"/>
      <c r="Q43" s="483"/>
      <c r="R43" s="484"/>
    </row>
    <row r="44" spans="1:18" ht="13.5">
      <c r="A44" s="850" t="s">
        <v>1356</v>
      </c>
      <c r="B44" s="851"/>
      <c r="C44" s="862" t="s">
        <v>526</v>
      </c>
      <c r="D44" s="487" t="s">
        <v>1373</v>
      </c>
      <c r="E44" s="488">
        <v>1</v>
      </c>
      <c r="F44" s="488">
        <v>500</v>
      </c>
      <c r="G44" s="489">
        <f>E44*F44</f>
        <v>500</v>
      </c>
      <c r="H44" s="486" t="s">
        <v>1253</v>
      </c>
      <c r="I44" s="503"/>
      <c r="J44" s="483"/>
      <c r="K44" s="483"/>
      <c r="L44" s="483"/>
      <c r="M44" s="483"/>
      <c r="N44" s="483"/>
      <c r="O44" s="483"/>
      <c r="P44" s="483"/>
      <c r="Q44" s="483"/>
      <c r="R44" s="484"/>
    </row>
    <row r="45" spans="1:18" ht="13.5">
      <c r="A45" s="854"/>
      <c r="B45" s="855"/>
      <c r="C45" s="863"/>
      <c r="D45" s="494"/>
      <c r="E45" s="495"/>
      <c r="F45" s="495"/>
      <c r="G45" s="495"/>
      <c r="H45" s="493"/>
      <c r="I45" s="502"/>
      <c r="J45" s="483"/>
      <c r="K45" s="483"/>
      <c r="L45" s="483"/>
      <c r="M45" s="483"/>
      <c r="N45" s="483"/>
      <c r="O45" s="483"/>
      <c r="P45" s="483"/>
      <c r="Q45" s="483"/>
      <c r="R45" s="484"/>
    </row>
    <row r="46" spans="1:18" ht="13.5">
      <c r="A46" s="300"/>
      <c r="B46" s="300"/>
      <c r="C46" s="300"/>
      <c r="D46" s="481"/>
      <c r="E46" s="482"/>
      <c r="F46" s="483"/>
      <c r="G46" s="483"/>
      <c r="H46" s="483"/>
      <c r="I46" s="483"/>
      <c r="J46" s="483"/>
      <c r="K46" s="483"/>
      <c r="L46" s="483"/>
      <c r="M46" s="483"/>
      <c r="N46" s="483"/>
      <c r="O46" s="483"/>
      <c r="P46" s="483"/>
      <c r="Q46" s="483"/>
      <c r="R46" s="484"/>
    </row>
    <row r="47" spans="1:18" ht="13.5">
      <c r="A47" s="300"/>
      <c r="B47" s="300"/>
      <c r="C47" s="300"/>
      <c r="D47" s="481"/>
      <c r="E47" s="482"/>
      <c r="F47" s="483"/>
      <c r="G47" s="483"/>
      <c r="H47" s="483"/>
      <c r="I47" s="483"/>
      <c r="J47" s="483"/>
      <c r="K47" s="483"/>
      <c r="L47" s="483"/>
      <c r="M47" s="483"/>
      <c r="N47" s="483"/>
      <c r="O47" s="483"/>
      <c r="P47" s="483"/>
      <c r="Q47" s="483"/>
      <c r="R47" s="484"/>
    </row>
    <row r="48" spans="1:18" ht="13.5">
      <c r="A48" s="842"/>
      <c r="B48" s="843"/>
      <c r="C48" s="843"/>
      <c r="D48" s="829"/>
      <c r="E48" s="396" t="s">
        <v>799</v>
      </c>
      <c r="F48" s="396" t="s">
        <v>1250</v>
      </c>
      <c r="G48" s="396" t="s">
        <v>1251</v>
      </c>
      <c r="H48" s="396" t="s">
        <v>1252</v>
      </c>
      <c r="I48" s="396" t="s">
        <v>1253</v>
      </c>
      <c r="J48" s="396" t="s">
        <v>1254</v>
      </c>
      <c r="K48" s="396" t="s">
        <v>1255</v>
      </c>
      <c r="L48" s="396" t="s">
        <v>1256</v>
      </c>
      <c r="M48" s="396" t="s">
        <v>1257</v>
      </c>
      <c r="N48" s="396" t="s">
        <v>1258</v>
      </c>
      <c r="O48" s="396" t="s">
        <v>1259</v>
      </c>
      <c r="P48" s="396" t="s">
        <v>1260</v>
      </c>
      <c r="Q48" s="396" t="s">
        <v>1261</v>
      </c>
      <c r="R48" s="475"/>
    </row>
    <row r="49" spans="1:18" ht="13.5">
      <c r="A49" s="476" t="s">
        <v>1327</v>
      </c>
      <c r="B49" s="476" t="s">
        <v>1352</v>
      </c>
      <c r="C49" s="476" t="s">
        <v>1263</v>
      </c>
      <c r="D49" s="477" t="s">
        <v>1353</v>
      </c>
      <c r="E49" s="478">
        <f>SUM(F49:Q49)</f>
        <v>2250</v>
      </c>
      <c r="F49" s="479">
        <f>SUM(G52:G60)</f>
        <v>2250</v>
      </c>
      <c r="G49" s="479">
        <v>0</v>
      </c>
      <c r="H49" s="479"/>
      <c r="I49" s="479">
        <v>0</v>
      </c>
      <c r="J49" s="479">
        <v>0</v>
      </c>
      <c r="K49" s="479">
        <v>0</v>
      </c>
      <c r="L49" s="479">
        <v>0</v>
      </c>
      <c r="M49" s="479">
        <v>0</v>
      </c>
      <c r="N49" s="479">
        <v>0</v>
      </c>
      <c r="O49" s="479">
        <v>0</v>
      </c>
      <c r="P49" s="479">
        <v>0</v>
      </c>
      <c r="Q49" s="479">
        <v>0</v>
      </c>
      <c r="R49" s="480" t="s">
        <v>1354</v>
      </c>
    </row>
    <row r="50" spans="1:18" ht="13.5">
      <c r="A50" s="300"/>
      <c r="B50" s="300"/>
      <c r="C50" s="300"/>
      <c r="D50" s="481"/>
      <c r="E50" s="482"/>
      <c r="F50" s="483"/>
      <c r="G50" s="483"/>
      <c r="H50" s="483"/>
      <c r="I50" s="483"/>
      <c r="J50" s="483"/>
      <c r="K50" s="483"/>
      <c r="L50" s="483"/>
      <c r="M50" s="483"/>
      <c r="N50" s="483"/>
      <c r="O50" s="483"/>
      <c r="P50" s="483"/>
      <c r="Q50" s="483"/>
      <c r="R50" s="484"/>
    </row>
    <row r="51" spans="1:18" ht="13.5">
      <c r="A51" s="331"/>
      <c r="B51" s="331"/>
      <c r="C51" s="331"/>
      <c r="D51" s="331"/>
      <c r="E51" s="485" t="s">
        <v>505</v>
      </c>
      <c r="F51" s="485" t="s">
        <v>1355</v>
      </c>
      <c r="G51" s="485" t="s">
        <v>799</v>
      </c>
      <c r="H51" s="485" t="s">
        <v>90</v>
      </c>
      <c r="I51" s="483"/>
      <c r="J51" s="483"/>
      <c r="K51" s="483"/>
      <c r="L51" s="483"/>
      <c r="M51" s="483"/>
      <c r="N51" s="483"/>
      <c r="O51" s="483"/>
      <c r="P51" s="483"/>
      <c r="Q51" s="483"/>
      <c r="R51" s="484"/>
    </row>
    <row r="52" spans="1:18" ht="13.5">
      <c r="A52" s="864" t="s">
        <v>1356</v>
      </c>
      <c r="B52" s="864"/>
      <c r="C52" s="856" t="s">
        <v>1263</v>
      </c>
      <c r="D52" s="487" t="s">
        <v>1366</v>
      </c>
      <c r="E52" s="488">
        <v>3</v>
      </c>
      <c r="F52" s="488">
        <v>200</v>
      </c>
      <c r="G52" s="489">
        <f aca="true" t="shared" si="3" ref="G52:G60">E52*F52</f>
        <v>600</v>
      </c>
      <c r="H52" s="486" t="s">
        <v>1250</v>
      </c>
      <c r="I52" s="483"/>
      <c r="J52" s="483"/>
      <c r="K52" s="483"/>
      <c r="L52" s="483"/>
      <c r="M52" s="483"/>
      <c r="N52" s="483"/>
      <c r="O52" s="483"/>
      <c r="P52" s="483"/>
      <c r="Q52" s="483"/>
      <c r="R52" s="484"/>
    </row>
    <row r="53" spans="1:18" ht="13.5">
      <c r="A53" s="865"/>
      <c r="B53" s="865"/>
      <c r="C53" s="857"/>
      <c r="D53" s="490" t="s">
        <v>1374</v>
      </c>
      <c r="E53" s="491">
        <v>2</v>
      </c>
      <c r="F53" s="491">
        <v>250</v>
      </c>
      <c r="G53" s="501">
        <f t="shared" si="3"/>
        <v>500</v>
      </c>
      <c r="H53" s="354" t="s">
        <v>1250</v>
      </c>
      <c r="I53" s="483"/>
      <c r="J53" s="483"/>
      <c r="K53" s="483"/>
      <c r="L53" s="483"/>
      <c r="M53" s="483"/>
      <c r="N53" s="483"/>
      <c r="O53" s="483"/>
      <c r="P53" s="483"/>
      <c r="Q53" s="483"/>
      <c r="R53" s="484"/>
    </row>
    <row r="54" spans="1:18" ht="13.5">
      <c r="A54" s="865"/>
      <c r="B54" s="865"/>
      <c r="C54" s="857"/>
      <c r="D54" s="490" t="s">
        <v>1368</v>
      </c>
      <c r="E54" s="491">
        <v>2</v>
      </c>
      <c r="F54" s="491">
        <v>150</v>
      </c>
      <c r="G54" s="501">
        <f t="shared" si="3"/>
        <v>300</v>
      </c>
      <c r="H54" s="354" t="s">
        <v>1250</v>
      </c>
      <c r="I54" s="483"/>
      <c r="J54" s="483"/>
      <c r="K54" s="483"/>
      <c r="L54" s="483"/>
      <c r="M54" s="483"/>
      <c r="N54" s="483"/>
      <c r="O54" s="483"/>
      <c r="P54" s="483"/>
      <c r="Q54" s="483"/>
      <c r="R54" s="484"/>
    </row>
    <row r="55" spans="1:18" ht="13.5">
      <c r="A55" s="865"/>
      <c r="B55" s="865"/>
      <c r="C55" s="857"/>
      <c r="D55" s="490" t="s">
        <v>1375</v>
      </c>
      <c r="E55" s="491">
        <v>2</v>
      </c>
      <c r="F55" s="491">
        <v>200</v>
      </c>
      <c r="G55" s="501">
        <f t="shared" si="3"/>
        <v>400</v>
      </c>
      <c r="H55" s="354" t="s">
        <v>1250</v>
      </c>
      <c r="I55" s="483"/>
      <c r="J55" s="483"/>
      <c r="K55" s="483"/>
      <c r="L55" s="483"/>
      <c r="M55" s="483"/>
      <c r="N55" s="483"/>
      <c r="O55" s="483"/>
      <c r="P55" s="483"/>
      <c r="Q55" s="483"/>
      <c r="R55" s="484"/>
    </row>
    <row r="56" spans="1:18" ht="13.5">
      <c r="A56" s="865"/>
      <c r="B56" s="865"/>
      <c r="C56" s="857"/>
      <c r="D56" s="490" t="s">
        <v>1376</v>
      </c>
      <c r="E56" s="491">
        <v>1</v>
      </c>
      <c r="F56" s="491">
        <v>200</v>
      </c>
      <c r="G56" s="501">
        <f t="shared" si="3"/>
        <v>200</v>
      </c>
      <c r="H56" s="354" t="s">
        <v>1250</v>
      </c>
      <c r="I56" s="483"/>
      <c r="J56" s="483"/>
      <c r="K56" s="483"/>
      <c r="L56" s="483"/>
      <c r="M56" s="483"/>
      <c r="N56" s="483"/>
      <c r="O56" s="483"/>
      <c r="P56" s="483"/>
      <c r="Q56" s="483"/>
      <c r="R56" s="484"/>
    </row>
    <row r="57" spans="1:18" ht="13.5">
      <c r="A57" s="865"/>
      <c r="B57" s="865"/>
      <c r="C57" s="857"/>
      <c r="D57" s="490" t="s">
        <v>1370</v>
      </c>
      <c r="E57" s="491">
        <v>0</v>
      </c>
      <c r="F57" s="491">
        <v>600</v>
      </c>
      <c r="G57" s="501">
        <f t="shared" si="3"/>
        <v>0</v>
      </c>
      <c r="H57" s="354" t="s">
        <v>1250</v>
      </c>
      <c r="I57" s="483"/>
      <c r="J57" s="483"/>
      <c r="K57" s="483"/>
      <c r="L57" s="483"/>
      <c r="M57" s="483"/>
      <c r="N57" s="483"/>
      <c r="O57" s="483"/>
      <c r="P57" s="483"/>
      <c r="Q57" s="483"/>
      <c r="R57" s="484"/>
    </row>
    <row r="58" spans="1:18" ht="13.5">
      <c r="A58" s="865"/>
      <c r="B58" s="865"/>
      <c r="C58" s="857"/>
      <c r="D58" s="490" t="s">
        <v>1371</v>
      </c>
      <c r="E58" s="491">
        <v>0</v>
      </c>
      <c r="F58" s="491">
        <v>500</v>
      </c>
      <c r="G58" s="501">
        <f t="shared" si="3"/>
        <v>0</v>
      </c>
      <c r="H58" s="354" t="s">
        <v>1250</v>
      </c>
      <c r="I58" s="483"/>
      <c r="J58" s="483"/>
      <c r="K58" s="483"/>
      <c r="L58" s="483"/>
      <c r="M58" s="483"/>
      <c r="N58" s="483"/>
      <c r="O58" s="483"/>
      <c r="P58" s="483"/>
      <c r="Q58" s="483"/>
      <c r="R58" s="484"/>
    </row>
    <row r="59" spans="1:18" ht="13.5">
      <c r="A59" s="865"/>
      <c r="B59" s="865"/>
      <c r="C59" s="857"/>
      <c r="D59" s="490" t="s">
        <v>1372</v>
      </c>
      <c r="E59" s="491">
        <v>0</v>
      </c>
      <c r="F59" s="491">
        <v>750</v>
      </c>
      <c r="G59" s="501">
        <f t="shared" si="3"/>
        <v>0</v>
      </c>
      <c r="H59" s="354" t="s">
        <v>1250</v>
      </c>
      <c r="I59" s="483"/>
      <c r="J59" s="483"/>
      <c r="K59" s="483"/>
      <c r="L59" s="483"/>
      <c r="M59" s="483"/>
      <c r="N59" s="483"/>
      <c r="O59" s="483"/>
      <c r="P59" s="483"/>
      <c r="Q59" s="483"/>
      <c r="R59" s="484"/>
    </row>
    <row r="60" spans="1:18" ht="13.5">
      <c r="A60" s="865"/>
      <c r="B60" s="865"/>
      <c r="C60" s="857"/>
      <c r="D60" s="490" t="s">
        <v>1365</v>
      </c>
      <c r="E60" s="491">
        <v>1</v>
      </c>
      <c r="F60" s="491">
        <v>250</v>
      </c>
      <c r="G60" s="501">
        <f t="shared" si="3"/>
        <v>250</v>
      </c>
      <c r="H60" s="354" t="s">
        <v>1250</v>
      </c>
      <c r="I60" s="483"/>
      <c r="J60" s="483"/>
      <c r="K60" s="483"/>
      <c r="L60" s="483"/>
      <c r="M60" s="483"/>
      <c r="N60" s="483"/>
      <c r="O60" s="483"/>
      <c r="P60" s="483"/>
      <c r="Q60" s="483"/>
      <c r="R60" s="484"/>
    </row>
    <row r="61" spans="1:18" ht="13.5">
      <c r="A61" s="866"/>
      <c r="B61" s="866"/>
      <c r="C61" s="858"/>
      <c r="D61" s="494"/>
      <c r="E61" s="495"/>
      <c r="F61" s="495"/>
      <c r="G61" s="495"/>
      <c r="H61" s="493"/>
      <c r="I61" s="483"/>
      <c r="J61" s="483"/>
      <c r="K61" s="483"/>
      <c r="L61" s="483"/>
      <c r="M61" s="483"/>
      <c r="N61" s="483"/>
      <c r="O61" s="483"/>
      <c r="P61" s="483"/>
      <c r="Q61" s="483"/>
      <c r="R61" s="484"/>
    </row>
    <row r="62" spans="1:18" ht="13.5">
      <c r="A62" s="497"/>
      <c r="B62" s="497"/>
      <c r="C62" s="498"/>
      <c r="D62" s="499"/>
      <c r="E62" s="500"/>
      <c r="F62" s="500"/>
      <c r="G62" s="500"/>
      <c r="H62" s="498"/>
      <c r="I62" s="483"/>
      <c r="J62" s="483"/>
      <c r="K62" s="483"/>
      <c r="L62" s="483"/>
      <c r="M62" s="483"/>
      <c r="N62" s="483"/>
      <c r="O62" s="483"/>
      <c r="P62" s="483"/>
      <c r="Q62" s="483"/>
      <c r="R62" s="484"/>
    </row>
    <row r="63" spans="1:18" ht="13.5">
      <c r="A63" s="300"/>
      <c r="B63" s="300"/>
      <c r="C63" s="300"/>
      <c r="D63" s="481"/>
      <c r="E63" s="396" t="s">
        <v>799</v>
      </c>
      <c r="F63" s="396" t="s">
        <v>1250</v>
      </c>
      <c r="G63" s="396" t="s">
        <v>1251</v>
      </c>
      <c r="H63" s="396" t="s">
        <v>1252</v>
      </c>
      <c r="I63" s="396" t="s">
        <v>1253</v>
      </c>
      <c r="J63" s="396" t="s">
        <v>1254</v>
      </c>
      <c r="K63" s="396" t="s">
        <v>1255</v>
      </c>
      <c r="L63" s="396" t="s">
        <v>1256</v>
      </c>
      <c r="M63" s="396" t="s">
        <v>1257</v>
      </c>
      <c r="N63" s="396" t="s">
        <v>1258</v>
      </c>
      <c r="O63" s="396" t="s">
        <v>1259</v>
      </c>
      <c r="P63" s="396" t="s">
        <v>1260</v>
      </c>
      <c r="Q63" s="396" t="s">
        <v>1261</v>
      </c>
      <c r="R63" s="484"/>
    </row>
    <row r="64" spans="1:18" ht="13.5">
      <c r="A64" s="476" t="s">
        <v>1327</v>
      </c>
      <c r="B64" s="476" t="s">
        <v>1352</v>
      </c>
      <c r="C64" s="476" t="s">
        <v>1262</v>
      </c>
      <c r="D64" s="504" t="s">
        <v>1377</v>
      </c>
      <c r="E64" s="478">
        <f>SUM(F64:Q64)</f>
        <v>6000</v>
      </c>
      <c r="F64" s="505">
        <f>G67+G68+G69+G71+G72</f>
        <v>3100</v>
      </c>
      <c r="G64" s="505"/>
      <c r="H64" s="505">
        <v>0</v>
      </c>
      <c r="I64" s="505">
        <f>G70+G73</f>
        <v>2900</v>
      </c>
      <c r="J64" s="505">
        <v>0</v>
      </c>
      <c r="K64" s="505">
        <v>0</v>
      </c>
      <c r="L64" s="505">
        <v>0</v>
      </c>
      <c r="M64" s="505">
        <v>0</v>
      </c>
      <c r="N64" s="505">
        <v>0</v>
      </c>
      <c r="O64" s="505">
        <v>0</v>
      </c>
      <c r="P64" s="505">
        <v>0</v>
      </c>
      <c r="Q64" s="505">
        <v>0</v>
      </c>
      <c r="R64" s="480" t="s">
        <v>1354</v>
      </c>
    </row>
    <row r="65" spans="1:18" ht="13.5">
      <c r="A65" s="506"/>
      <c r="B65" s="506"/>
      <c r="C65" s="506"/>
      <c r="D65" s="507"/>
      <c r="E65" s="508"/>
      <c r="F65" s="509"/>
      <c r="G65" s="509"/>
      <c r="H65" s="509"/>
      <c r="I65" s="510"/>
      <c r="J65" s="510"/>
      <c r="K65" s="510"/>
      <c r="L65" s="510"/>
      <c r="M65" s="510"/>
      <c r="N65" s="510"/>
      <c r="O65" s="510"/>
      <c r="P65" s="510"/>
      <c r="Q65" s="510"/>
      <c r="R65" s="484"/>
    </row>
    <row r="66" spans="1:18" ht="13.5">
      <c r="A66" s="300"/>
      <c r="B66" s="300"/>
      <c r="C66" s="300"/>
      <c r="D66" s="511"/>
      <c r="E66" s="485" t="s">
        <v>505</v>
      </c>
      <c r="F66" s="485" t="s">
        <v>1355</v>
      </c>
      <c r="G66" s="485" t="s">
        <v>799</v>
      </c>
      <c r="H66" s="485" t="s">
        <v>90</v>
      </c>
      <c r="I66" s="483"/>
      <c r="J66" s="483"/>
      <c r="K66" s="483"/>
      <c r="L66" s="483"/>
      <c r="M66" s="483"/>
      <c r="N66" s="483"/>
      <c r="O66" s="483"/>
      <c r="P66" s="483"/>
      <c r="Q66" s="483"/>
      <c r="R66" s="484"/>
    </row>
    <row r="67" spans="1:18" ht="13.5">
      <c r="A67" s="850" t="s">
        <v>1377</v>
      </c>
      <c r="B67" s="851"/>
      <c r="C67" s="856" t="s">
        <v>1262</v>
      </c>
      <c r="D67" s="512" t="s">
        <v>1378</v>
      </c>
      <c r="E67" s="513">
        <v>1</v>
      </c>
      <c r="F67" s="513">
        <v>800</v>
      </c>
      <c r="G67" s="514">
        <f aca="true" t="shared" si="4" ref="G67:G73">E67*F67</f>
        <v>800</v>
      </c>
      <c r="H67" s="515" t="s">
        <v>1250</v>
      </c>
      <c r="I67" s="483"/>
      <c r="J67" s="483"/>
      <c r="K67" s="483"/>
      <c r="L67" s="483"/>
      <c r="M67" s="483"/>
      <c r="N67" s="483"/>
      <c r="O67" s="483"/>
      <c r="P67" s="483"/>
      <c r="Q67" s="483"/>
      <c r="R67" s="484"/>
    </row>
    <row r="68" spans="1:18" ht="13.5">
      <c r="A68" s="852"/>
      <c r="B68" s="853"/>
      <c r="C68" s="857"/>
      <c r="D68" s="365" t="s">
        <v>1379</v>
      </c>
      <c r="E68" s="364">
        <v>1</v>
      </c>
      <c r="F68" s="364">
        <v>800</v>
      </c>
      <c r="G68" s="356">
        <f t="shared" si="4"/>
        <v>800</v>
      </c>
      <c r="H68" s="516" t="s">
        <v>1250</v>
      </c>
      <c r="I68" s="483"/>
      <c r="J68" s="483"/>
      <c r="K68" s="483"/>
      <c r="L68" s="483"/>
      <c r="M68" s="483"/>
      <c r="N68" s="483"/>
      <c r="O68" s="483"/>
      <c r="P68" s="483"/>
      <c r="Q68" s="483"/>
      <c r="R68" s="484"/>
    </row>
    <row r="69" spans="1:18" ht="13.5">
      <c r="A69" s="852"/>
      <c r="B69" s="853"/>
      <c r="C69" s="857"/>
      <c r="D69" s="365" t="s">
        <v>1380</v>
      </c>
      <c r="E69" s="364">
        <v>1</v>
      </c>
      <c r="F69" s="364">
        <v>600</v>
      </c>
      <c r="G69" s="356">
        <f t="shared" si="4"/>
        <v>600</v>
      </c>
      <c r="H69" s="516" t="s">
        <v>1250</v>
      </c>
      <c r="I69" s="483"/>
      <c r="J69" s="483"/>
      <c r="K69" s="483"/>
      <c r="L69" s="483"/>
      <c r="M69" s="483"/>
      <c r="N69" s="483"/>
      <c r="O69" s="483"/>
      <c r="P69" s="483"/>
      <c r="Q69" s="483"/>
      <c r="R69" s="484"/>
    </row>
    <row r="70" spans="1:18" ht="13.5">
      <c r="A70" s="852"/>
      <c r="B70" s="853"/>
      <c r="C70" s="857"/>
      <c r="D70" s="365" t="s">
        <v>1381</v>
      </c>
      <c r="E70" s="364">
        <v>3</v>
      </c>
      <c r="F70" s="364">
        <v>800</v>
      </c>
      <c r="G70" s="356">
        <f t="shared" si="4"/>
        <v>2400</v>
      </c>
      <c r="H70" s="516" t="s">
        <v>1382</v>
      </c>
      <c r="I70" s="483"/>
      <c r="J70" s="483"/>
      <c r="K70" s="483"/>
      <c r="L70" s="483"/>
      <c r="M70" s="483"/>
      <c r="N70" s="483"/>
      <c r="O70" s="483"/>
      <c r="P70" s="483"/>
      <c r="Q70" s="483"/>
      <c r="R70" s="484"/>
    </row>
    <row r="71" spans="1:18" ht="13.5">
      <c r="A71" s="852"/>
      <c r="B71" s="853"/>
      <c r="C71" s="857"/>
      <c r="D71" s="365" t="s">
        <v>1383</v>
      </c>
      <c r="E71" s="364">
        <v>3</v>
      </c>
      <c r="F71" s="364">
        <v>100</v>
      </c>
      <c r="G71" s="356">
        <f t="shared" si="4"/>
        <v>300</v>
      </c>
      <c r="H71" s="516" t="s">
        <v>1250</v>
      </c>
      <c r="I71" s="483"/>
      <c r="J71" s="483"/>
      <c r="K71" s="483"/>
      <c r="L71" s="483"/>
      <c r="M71" s="483"/>
      <c r="N71" s="483"/>
      <c r="O71" s="483"/>
      <c r="P71" s="483"/>
      <c r="Q71" s="483"/>
      <c r="R71" s="484"/>
    </row>
    <row r="72" spans="1:18" ht="13.5">
      <c r="A72" s="852"/>
      <c r="B72" s="853"/>
      <c r="C72" s="857"/>
      <c r="D72" s="368" t="s">
        <v>1384</v>
      </c>
      <c r="E72" s="370">
        <v>4</v>
      </c>
      <c r="F72" s="370">
        <v>150</v>
      </c>
      <c r="G72" s="517">
        <f t="shared" si="4"/>
        <v>600</v>
      </c>
      <c r="H72" s="518" t="s">
        <v>1250</v>
      </c>
      <c r="I72" s="482"/>
      <c r="J72" s="482"/>
      <c r="K72" s="482"/>
      <c r="L72" s="482"/>
      <c r="M72" s="482"/>
      <c r="N72" s="482"/>
      <c r="O72" s="482"/>
      <c r="P72" s="482"/>
      <c r="Q72" s="482"/>
      <c r="R72" s="484"/>
    </row>
    <row r="73" spans="1:18" ht="13.5">
      <c r="A73" s="854"/>
      <c r="B73" s="855"/>
      <c r="C73" s="858"/>
      <c r="D73" s="390" t="s">
        <v>1385</v>
      </c>
      <c r="E73" s="391">
        <v>1</v>
      </c>
      <c r="F73" s="391">
        <v>500</v>
      </c>
      <c r="G73" s="519">
        <f t="shared" si="4"/>
        <v>500</v>
      </c>
      <c r="H73" s="520" t="s">
        <v>1382</v>
      </c>
      <c r="I73" s="483"/>
      <c r="J73" s="483"/>
      <c r="K73" s="483"/>
      <c r="L73" s="483"/>
      <c r="M73" s="483"/>
      <c r="N73" s="483"/>
      <c r="O73" s="483"/>
      <c r="P73" s="483"/>
      <c r="Q73" s="483"/>
      <c r="R73" s="484"/>
    </row>
    <row r="74" spans="1:18" ht="13.5">
      <c r="A74" s="300"/>
      <c r="B74" s="300"/>
      <c r="C74" s="300"/>
      <c r="D74" s="511"/>
      <c r="E74" s="482"/>
      <c r="F74" s="483"/>
      <c r="G74" s="483"/>
      <c r="H74" s="483"/>
      <c r="I74" s="483"/>
      <c r="J74" s="483"/>
      <c r="K74" s="483"/>
      <c r="L74" s="483"/>
      <c r="M74" s="483"/>
      <c r="N74" s="483"/>
      <c r="O74" s="483"/>
      <c r="P74" s="483"/>
      <c r="Q74" s="483"/>
      <c r="R74" s="484"/>
    </row>
    <row r="75" spans="1:18" ht="13.5">
      <c r="A75" s="300"/>
      <c r="B75" s="300"/>
      <c r="C75" s="300"/>
      <c r="D75" s="481"/>
      <c r="E75" s="482"/>
      <c r="F75" s="483"/>
      <c r="G75" s="483"/>
      <c r="H75" s="483"/>
      <c r="I75" s="483"/>
      <c r="J75" s="483"/>
      <c r="K75" s="483"/>
      <c r="L75" s="483"/>
      <c r="M75" s="483"/>
      <c r="N75" s="483"/>
      <c r="O75" s="483"/>
      <c r="P75" s="483"/>
      <c r="Q75" s="521"/>
      <c r="R75" s="484"/>
    </row>
    <row r="76" spans="1:18" ht="13.5">
      <c r="A76" s="300"/>
      <c r="B76" s="300"/>
      <c r="C76" s="300"/>
      <c r="D76" s="481"/>
      <c r="E76" s="396" t="s">
        <v>799</v>
      </c>
      <c r="F76" s="396" t="s">
        <v>1250</v>
      </c>
      <c r="G76" s="396" t="s">
        <v>1251</v>
      </c>
      <c r="H76" s="396" t="s">
        <v>1252</v>
      </c>
      <c r="I76" s="396" t="s">
        <v>1253</v>
      </c>
      <c r="J76" s="396" t="s">
        <v>1254</v>
      </c>
      <c r="K76" s="396" t="s">
        <v>1255</v>
      </c>
      <c r="L76" s="396" t="s">
        <v>1256</v>
      </c>
      <c r="M76" s="396" t="s">
        <v>1257</v>
      </c>
      <c r="N76" s="396" t="s">
        <v>1258</v>
      </c>
      <c r="O76" s="396" t="s">
        <v>1259</v>
      </c>
      <c r="P76" s="396" t="s">
        <v>1260</v>
      </c>
      <c r="Q76" s="396" t="s">
        <v>1261</v>
      </c>
      <c r="R76" s="484"/>
    </row>
    <row r="77" spans="1:18" ht="13.5">
      <c r="A77" s="859" t="s">
        <v>1386</v>
      </c>
      <c r="B77" s="859"/>
      <c r="C77" s="522" t="s">
        <v>1262</v>
      </c>
      <c r="D77" s="523" t="s">
        <v>1387</v>
      </c>
      <c r="E77" s="524">
        <f>SUM(F77:Q77)</f>
        <v>3350</v>
      </c>
      <c r="F77" s="525">
        <v>0</v>
      </c>
      <c r="G77" s="525">
        <v>0</v>
      </c>
      <c r="H77" s="525">
        <v>0</v>
      </c>
      <c r="I77" s="525">
        <v>0</v>
      </c>
      <c r="J77" s="525">
        <v>1800</v>
      </c>
      <c r="K77" s="525">
        <v>1550</v>
      </c>
      <c r="L77" s="525">
        <v>0</v>
      </c>
      <c r="M77" s="525">
        <v>0</v>
      </c>
      <c r="N77" s="525">
        <v>0</v>
      </c>
      <c r="O77" s="525">
        <v>0</v>
      </c>
      <c r="P77" s="525">
        <v>0</v>
      </c>
      <c r="Q77" s="525">
        <v>0</v>
      </c>
      <c r="R77" s="469"/>
    </row>
    <row r="78" spans="1:18" ht="13.5">
      <c r="A78" s="860"/>
      <c r="B78" s="860"/>
      <c r="C78" s="526"/>
      <c r="D78" s="527" t="s">
        <v>1388</v>
      </c>
      <c r="E78" s="352">
        <f>SUM(F78:Q78)</f>
        <v>2800</v>
      </c>
      <c r="F78" s="528">
        <v>0</v>
      </c>
      <c r="G78" s="528">
        <v>0</v>
      </c>
      <c r="H78" s="528">
        <v>0</v>
      </c>
      <c r="I78" s="528">
        <v>0</v>
      </c>
      <c r="J78" s="528">
        <v>1300</v>
      </c>
      <c r="K78" s="528">
        <v>1500</v>
      </c>
      <c r="L78" s="528">
        <v>0</v>
      </c>
      <c r="M78" s="528">
        <v>0</v>
      </c>
      <c r="N78" s="528">
        <v>0</v>
      </c>
      <c r="O78" s="528">
        <v>0</v>
      </c>
      <c r="P78" s="528">
        <v>0</v>
      </c>
      <c r="Q78" s="528">
        <v>0</v>
      </c>
      <c r="R78" s="529"/>
    </row>
    <row r="79" spans="1:18" ht="13.5">
      <c r="A79" s="860"/>
      <c r="B79" s="860"/>
      <c r="C79" s="526"/>
      <c r="D79" s="527" t="s">
        <v>1389</v>
      </c>
      <c r="E79" s="352">
        <f>SUM(F79:Q79)</f>
        <v>3700</v>
      </c>
      <c r="F79" s="528">
        <v>0</v>
      </c>
      <c r="G79" s="528">
        <v>0</v>
      </c>
      <c r="H79" s="528">
        <v>0</v>
      </c>
      <c r="I79" s="528">
        <v>0</v>
      </c>
      <c r="J79" s="528">
        <v>2200</v>
      </c>
      <c r="K79" s="528">
        <v>1500</v>
      </c>
      <c r="L79" s="528">
        <v>0</v>
      </c>
      <c r="M79" s="528">
        <v>0</v>
      </c>
      <c r="N79" s="528">
        <v>0</v>
      </c>
      <c r="O79" s="528">
        <v>0</v>
      </c>
      <c r="P79" s="528">
        <v>0</v>
      </c>
      <c r="Q79" s="528">
        <v>0</v>
      </c>
      <c r="R79" s="484"/>
    </row>
    <row r="80" spans="1:18" ht="13.5">
      <c r="A80" s="860"/>
      <c r="B80" s="860"/>
      <c r="C80" s="526" t="s">
        <v>524</v>
      </c>
      <c r="D80" s="527" t="s">
        <v>1390</v>
      </c>
      <c r="E80" s="352">
        <f>SUM(F80:Q80)</f>
        <v>3350</v>
      </c>
      <c r="F80" s="528">
        <v>0</v>
      </c>
      <c r="G80" s="528">
        <v>0</v>
      </c>
      <c r="H80" s="528">
        <v>0</v>
      </c>
      <c r="I80" s="528">
        <v>0</v>
      </c>
      <c r="J80" s="528">
        <v>1800</v>
      </c>
      <c r="K80" s="528">
        <v>1550</v>
      </c>
      <c r="L80" s="528">
        <v>0</v>
      </c>
      <c r="M80" s="528">
        <v>0</v>
      </c>
      <c r="N80" s="528">
        <v>0</v>
      </c>
      <c r="O80" s="528">
        <v>0</v>
      </c>
      <c r="P80" s="528">
        <v>0</v>
      </c>
      <c r="Q80" s="528">
        <v>0</v>
      </c>
      <c r="R80" s="484"/>
    </row>
    <row r="81" spans="1:18" ht="13.5">
      <c r="A81" s="860"/>
      <c r="B81" s="860"/>
      <c r="C81" s="526"/>
      <c r="D81" s="527" t="s">
        <v>1391</v>
      </c>
      <c r="E81" s="352">
        <f aca="true" t="shared" si="5" ref="E81:E86">SUM(F81:Q81)</f>
        <v>4050</v>
      </c>
      <c r="F81" s="528">
        <v>0</v>
      </c>
      <c r="G81" s="528">
        <v>0</v>
      </c>
      <c r="H81" s="528">
        <v>0</v>
      </c>
      <c r="I81" s="528">
        <v>0</v>
      </c>
      <c r="J81" s="528">
        <v>2200</v>
      </c>
      <c r="K81" s="528">
        <v>1850</v>
      </c>
      <c r="L81" s="528">
        <v>0</v>
      </c>
      <c r="M81" s="528">
        <v>0</v>
      </c>
      <c r="N81" s="528">
        <v>0</v>
      </c>
      <c r="O81" s="528">
        <v>0</v>
      </c>
      <c r="P81" s="528">
        <v>0</v>
      </c>
      <c r="Q81" s="530">
        <v>0</v>
      </c>
      <c r="R81" s="484"/>
    </row>
    <row r="82" spans="1:18" ht="13.5">
      <c r="A82" s="860"/>
      <c r="B82" s="860"/>
      <c r="C82" s="526"/>
      <c r="D82" s="527" t="s">
        <v>1392</v>
      </c>
      <c r="E82" s="352">
        <f t="shared" si="5"/>
        <v>2800</v>
      </c>
      <c r="F82" s="528">
        <v>0</v>
      </c>
      <c r="G82" s="528">
        <v>0</v>
      </c>
      <c r="H82" s="528">
        <v>0</v>
      </c>
      <c r="I82" s="528">
        <v>0</v>
      </c>
      <c r="J82" s="528">
        <v>1300</v>
      </c>
      <c r="K82" s="528">
        <v>1500</v>
      </c>
      <c r="L82" s="528">
        <v>0</v>
      </c>
      <c r="M82" s="528">
        <v>0</v>
      </c>
      <c r="N82" s="528">
        <v>0</v>
      </c>
      <c r="O82" s="528">
        <v>0</v>
      </c>
      <c r="P82" s="528">
        <v>0</v>
      </c>
      <c r="Q82" s="530">
        <v>0</v>
      </c>
      <c r="R82" s="484"/>
    </row>
    <row r="83" spans="1:18" ht="13.5">
      <c r="A83" s="860"/>
      <c r="B83" s="860"/>
      <c r="C83" s="526" t="s">
        <v>526</v>
      </c>
      <c r="D83" s="531" t="s">
        <v>1393</v>
      </c>
      <c r="E83" s="352">
        <f t="shared" si="5"/>
        <v>4050</v>
      </c>
      <c r="F83" s="528">
        <v>0</v>
      </c>
      <c r="G83" s="528">
        <v>0</v>
      </c>
      <c r="H83" s="528">
        <v>0</v>
      </c>
      <c r="I83" s="528">
        <v>0</v>
      </c>
      <c r="J83" s="528">
        <v>2200</v>
      </c>
      <c r="K83" s="528">
        <v>1850</v>
      </c>
      <c r="L83" s="528">
        <v>0</v>
      </c>
      <c r="M83" s="528">
        <v>0</v>
      </c>
      <c r="N83" s="528">
        <v>0</v>
      </c>
      <c r="O83" s="528">
        <v>0</v>
      </c>
      <c r="P83" s="528">
        <v>0</v>
      </c>
      <c r="Q83" s="530">
        <v>0</v>
      </c>
      <c r="R83" s="484"/>
    </row>
    <row r="84" spans="1:18" ht="13.5">
      <c r="A84" s="860"/>
      <c r="B84" s="860"/>
      <c r="C84" s="526"/>
      <c r="D84" s="527" t="s">
        <v>1394</v>
      </c>
      <c r="E84" s="352">
        <f t="shared" si="5"/>
        <v>2800</v>
      </c>
      <c r="F84" s="528">
        <v>0</v>
      </c>
      <c r="G84" s="528">
        <v>0</v>
      </c>
      <c r="H84" s="528">
        <v>0</v>
      </c>
      <c r="I84" s="528">
        <v>0</v>
      </c>
      <c r="J84" s="528">
        <v>1300</v>
      </c>
      <c r="K84" s="528">
        <v>1500</v>
      </c>
      <c r="L84" s="528">
        <v>0</v>
      </c>
      <c r="M84" s="528">
        <v>0</v>
      </c>
      <c r="N84" s="528">
        <v>0</v>
      </c>
      <c r="O84" s="528">
        <v>0</v>
      </c>
      <c r="P84" s="528">
        <v>0</v>
      </c>
      <c r="Q84" s="530">
        <v>0</v>
      </c>
      <c r="R84" s="484"/>
    </row>
    <row r="85" spans="1:18" ht="13.5">
      <c r="A85" s="860"/>
      <c r="B85" s="860"/>
      <c r="C85" s="526" t="s">
        <v>1263</v>
      </c>
      <c r="D85" s="527" t="s">
        <v>1395</v>
      </c>
      <c r="E85" s="352">
        <f t="shared" si="5"/>
        <v>3350</v>
      </c>
      <c r="F85" s="528">
        <v>0</v>
      </c>
      <c r="G85" s="528">
        <v>0</v>
      </c>
      <c r="H85" s="528">
        <v>0</v>
      </c>
      <c r="I85" s="528">
        <v>0</v>
      </c>
      <c r="J85" s="528">
        <v>1800</v>
      </c>
      <c r="K85" s="528">
        <v>1550</v>
      </c>
      <c r="L85" s="528">
        <v>0</v>
      </c>
      <c r="M85" s="528">
        <v>0</v>
      </c>
      <c r="N85" s="528">
        <v>0</v>
      </c>
      <c r="O85" s="528">
        <v>0</v>
      </c>
      <c r="P85" s="528">
        <v>0</v>
      </c>
      <c r="Q85" s="530">
        <v>0</v>
      </c>
      <c r="R85" s="484"/>
    </row>
    <row r="86" spans="1:18" ht="13.5">
      <c r="A86" s="861"/>
      <c r="B86" s="861"/>
      <c r="C86" s="532" t="s">
        <v>1289</v>
      </c>
      <c r="D86" s="533" t="s">
        <v>1396</v>
      </c>
      <c r="E86" s="352">
        <f t="shared" si="5"/>
        <v>3850</v>
      </c>
      <c r="F86" s="534">
        <v>0</v>
      </c>
      <c r="G86" s="534">
        <v>0</v>
      </c>
      <c r="H86" s="534">
        <v>0</v>
      </c>
      <c r="I86" s="534">
        <v>0</v>
      </c>
      <c r="J86" s="534">
        <v>2000</v>
      </c>
      <c r="K86" s="534">
        <v>1850</v>
      </c>
      <c r="L86" s="534">
        <v>0</v>
      </c>
      <c r="M86" s="534">
        <v>0</v>
      </c>
      <c r="N86" s="534">
        <v>0</v>
      </c>
      <c r="O86" s="534">
        <v>0</v>
      </c>
      <c r="P86" s="534">
        <v>0</v>
      </c>
      <c r="Q86" s="535">
        <v>0</v>
      </c>
      <c r="R86" s="484"/>
    </row>
    <row r="87" spans="1:18" ht="13.5">
      <c r="A87" s="536" t="s">
        <v>1327</v>
      </c>
      <c r="B87" s="476" t="s">
        <v>1352</v>
      </c>
      <c r="C87" s="476" t="s">
        <v>1262</v>
      </c>
      <c r="D87" s="537" t="s">
        <v>1397</v>
      </c>
      <c r="E87" s="478">
        <f>SUM(E77:E86)</f>
        <v>34100</v>
      </c>
      <c r="F87" s="505">
        <f aca="true" t="shared" si="6" ref="F87:P87">SUM(F77:F86)</f>
        <v>0</v>
      </c>
      <c r="G87" s="505">
        <f t="shared" si="6"/>
        <v>0</v>
      </c>
      <c r="H87" s="505">
        <f t="shared" si="6"/>
        <v>0</v>
      </c>
      <c r="I87" s="505">
        <f t="shared" si="6"/>
        <v>0</v>
      </c>
      <c r="J87" s="505">
        <f t="shared" si="6"/>
        <v>17900</v>
      </c>
      <c r="K87" s="505">
        <f t="shared" si="6"/>
        <v>16200</v>
      </c>
      <c r="L87" s="505">
        <f t="shared" si="6"/>
        <v>0</v>
      </c>
      <c r="M87" s="505">
        <f t="shared" si="6"/>
        <v>0</v>
      </c>
      <c r="N87" s="505">
        <f t="shared" si="6"/>
        <v>0</v>
      </c>
      <c r="O87" s="505">
        <f t="shared" si="6"/>
        <v>0</v>
      </c>
      <c r="P87" s="505">
        <f t="shared" si="6"/>
        <v>0</v>
      </c>
      <c r="Q87" s="505">
        <f>SUM(Q77:Q86)</f>
        <v>0</v>
      </c>
      <c r="R87" s="484"/>
    </row>
    <row r="88" spans="1:18" ht="13.5">
      <c r="A88" s="300"/>
      <c r="B88" s="300"/>
      <c r="C88" s="300"/>
      <c r="D88" s="481"/>
      <c r="E88" s="482"/>
      <c r="F88" s="483"/>
      <c r="G88" s="483"/>
      <c r="H88" s="483"/>
      <c r="I88" s="483"/>
      <c r="J88" s="483"/>
      <c r="K88" s="483"/>
      <c r="L88" s="483"/>
      <c r="M88" s="483"/>
      <c r="N88" s="483"/>
      <c r="O88" s="483"/>
      <c r="P88" s="483"/>
      <c r="Q88" s="521"/>
      <c r="R88" s="484"/>
    </row>
    <row r="89" spans="1:18" ht="13.5">
      <c r="A89" s="300"/>
      <c r="B89" s="300"/>
      <c r="C89" s="300"/>
      <c r="D89" s="481"/>
      <c r="E89" s="482"/>
      <c r="F89" s="483"/>
      <c r="G89" s="483"/>
      <c r="H89" s="483"/>
      <c r="I89" s="483"/>
      <c r="J89" s="483"/>
      <c r="K89" s="483"/>
      <c r="L89" s="483"/>
      <c r="M89" s="483"/>
      <c r="N89" s="483"/>
      <c r="O89" s="483"/>
      <c r="P89" s="483"/>
      <c r="Q89" s="483"/>
      <c r="R89" s="484"/>
    </row>
    <row r="90" spans="1:18" ht="13.5">
      <c r="A90" s="300"/>
      <c r="B90" s="300"/>
      <c r="C90" s="300"/>
      <c r="D90" s="481"/>
      <c r="E90" s="396" t="s">
        <v>799</v>
      </c>
      <c r="F90" s="396" t="s">
        <v>1250</v>
      </c>
      <c r="G90" s="396" t="s">
        <v>1251</v>
      </c>
      <c r="H90" s="396" t="s">
        <v>1252</v>
      </c>
      <c r="I90" s="396" t="s">
        <v>1253</v>
      </c>
      <c r="J90" s="396" t="s">
        <v>1254</v>
      </c>
      <c r="K90" s="396" t="s">
        <v>1255</v>
      </c>
      <c r="L90" s="396" t="s">
        <v>1256</v>
      </c>
      <c r="M90" s="396" t="s">
        <v>1257</v>
      </c>
      <c r="N90" s="396" t="s">
        <v>1258</v>
      </c>
      <c r="O90" s="396" t="s">
        <v>1259</v>
      </c>
      <c r="P90" s="396" t="s">
        <v>1260</v>
      </c>
      <c r="Q90" s="396" t="s">
        <v>1261</v>
      </c>
      <c r="R90" s="484"/>
    </row>
    <row r="91" spans="1:18" ht="13.5">
      <c r="A91" s="848" t="s">
        <v>1398</v>
      </c>
      <c r="B91" s="849"/>
      <c r="C91" s="522" t="s">
        <v>1262</v>
      </c>
      <c r="D91" s="538" t="s">
        <v>1399</v>
      </c>
      <c r="E91" s="524">
        <f>SUM(F91:Q91)</f>
        <v>10800</v>
      </c>
      <c r="F91" s="525">
        <f>300*3</f>
        <v>900</v>
      </c>
      <c r="G91" s="525">
        <f aca="true" t="shared" si="7" ref="G91:Q91">300*3</f>
        <v>900</v>
      </c>
      <c r="H91" s="525">
        <f t="shared" si="7"/>
        <v>900</v>
      </c>
      <c r="I91" s="525">
        <f t="shared" si="7"/>
        <v>900</v>
      </c>
      <c r="J91" s="525">
        <f t="shared" si="7"/>
        <v>900</v>
      </c>
      <c r="K91" s="525">
        <f t="shared" si="7"/>
        <v>900</v>
      </c>
      <c r="L91" s="525">
        <f t="shared" si="7"/>
        <v>900</v>
      </c>
      <c r="M91" s="525">
        <f t="shared" si="7"/>
        <v>900</v>
      </c>
      <c r="N91" s="525">
        <f t="shared" si="7"/>
        <v>900</v>
      </c>
      <c r="O91" s="525">
        <f t="shared" si="7"/>
        <v>900</v>
      </c>
      <c r="P91" s="525">
        <f t="shared" si="7"/>
        <v>900</v>
      </c>
      <c r="Q91" s="525">
        <f t="shared" si="7"/>
        <v>900</v>
      </c>
      <c r="R91" s="469"/>
    </row>
    <row r="92" spans="1:18" ht="13.5">
      <c r="A92" s="846" t="s">
        <v>1400</v>
      </c>
      <c r="B92" s="847"/>
      <c r="C92" s="539" t="s">
        <v>1262</v>
      </c>
      <c r="D92" s="540" t="s">
        <v>1399</v>
      </c>
      <c r="E92" s="541">
        <f>SUM(F92:Q92)</f>
        <v>12300</v>
      </c>
      <c r="F92" s="542">
        <f>250*3</f>
        <v>750</v>
      </c>
      <c r="G92" s="542">
        <f>250*3+'[3]MDA'!G14</f>
        <v>1650</v>
      </c>
      <c r="H92" s="542">
        <f aca="true" t="shared" si="8" ref="H92:Q92">250*3</f>
        <v>750</v>
      </c>
      <c r="I92" s="542">
        <f t="shared" si="8"/>
        <v>750</v>
      </c>
      <c r="J92" s="542">
        <f>250*3+'[3]MDA'!G48*2</f>
        <v>3150</v>
      </c>
      <c r="K92" s="542">
        <f t="shared" si="8"/>
        <v>750</v>
      </c>
      <c r="L92" s="542">
        <f t="shared" si="8"/>
        <v>750</v>
      </c>
      <c r="M92" s="542">
        <f t="shared" si="8"/>
        <v>750</v>
      </c>
      <c r="N92" s="542">
        <f t="shared" si="8"/>
        <v>750</v>
      </c>
      <c r="O92" s="542">
        <f t="shared" si="8"/>
        <v>750</v>
      </c>
      <c r="P92" s="542">
        <f t="shared" si="8"/>
        <v>750</v>
      </c>
      <c r="Q92" s="542">
        <f t="shared" si="8"/>
        <v>750</v>
      </c>
      <c r="R92" s="484" t="s">
        <v>1401</v>
      </c>
    </row>
    <row r="93" spans="1:18" ht="13.5">
      <c r="A93" s="476" t="s">
        <v>1327</v>
      </c>
      <c r="B93" s="476" t="s">
        <v>1352</v>
      </c>
      <c r="C93" s="476" t="s">
        <v>1262</v>
      </c>
      <c r="D93" s="477" t="s">
        <v>1402</v>
      </c>
      <c r="E93" s="478">
        <f>SUM(E91:E92)</f>
        <v>23100</v>
      </c>
      <c r="F93" s="505">
        <f aca="true" t="shared" si="9" ref="F93:Q93">SUM(F91:F92)</f>
        <v>1650</v>
      </c>
      <c r="G93" s="505">
        <f t="shared" si="9"/>
        <v>2550</v>
      </c>
      <c r="H93" s="505">
        <f t="shared" si="9"/>
        <v>1650</v>
      </c>
      <c r="I93" s="505">
        <f t="shared" si="9"/>
        <v>1650</v>
      </c>
      <c r="J93" s="505">
        <f t="shared" si="9"/>
        <v>4050</v>
      </c>
      <c r="K93" s="505">
        <f t="shared" si="9"/>
        <v>1650</v>
      </c>
      <c r="L93" s="505">
        <f t="shared" si="9"/>
        <v>1650</v>
      </c>
      <c r="M93" s="505">
        <f t="shared" si="9"/>
        <v>1650</v>
      </c>
      <c r="N93" s="505">
        <f t="shared" si="9"/>
        <v>1650</v>
      </c>
      <c r="O93" s="505">
        <f t="shared" si="9"/>
        <v>1650</v>
      </c>
      <c r="P93" s="505">
        <f t="shared" si="9"/>
        <v>1650</v>
      </c>
      <c r="Q93" s="505">
        <f t="shared" si="9"/>
        <v>1650</v>
      </c>
      <c r="R93" s="484"/>
    </row>
    <row r="94" spans="1:18" ht="13.5">
      <c r="A94" s="300"/>
      <c r="B94" s="300"/>
      <c r="C94" s="300"/>
      <c r="D94" s="481"/>
      <c r="E94" s="482"/>
      <c r="F94" s="483"/>
      <c r="G94" s="483"/>
      <c r="H94" s="483"/>
      <c r="I94" s="483"/>
      <c r="J94" s="483"/>
      <c r="K94" s="483"/>
      <c r="L94" s="483"/>
      <c r="M94" s="483"/>
      <c r="N94" s="483"/>
      <c r="O94" s="483"/>
      <c r="P94" s="483"/>
      <c r="Q94" s="483"/>
      <c r="R94" s="484"/>
    </row>
    <row r="95" spans="1:18" ht="13.5">
      <c r="A95" s="300"/>
      <c r="B95" s="300"/>
      <c r="C95" s="300"/>
      <c r="D95" s="481"/>
      <c r="E95" s="396" t="s">
        <v>799</v>
      </c>
      <c r="F95" s="396" t="s">
        <v>1250</v>
      </c>
      <c r="G95" s="396" t="s">
        <v>1251</v>
      </c>
      <c r="H95" s="396" t="s">
        <v>1252</v>
      </c>
      <c r="I95" s="396" t="s">
        <v>1253</v>
      </c>
      <c r="J95" s="396" t="s">
        <v>1254</v>
      </c>
      <c r="K95" s="396" t="s">
        <v>1255</v>
      </c>
      <c r="L95" s="396" t="s">
        <v>1256</v>
      </c>
      <c r="M95" s="396" t="s">
        <v>1257</v>
      </c>
      <c r="N95" s="396" t="s">
        <v>1258</v>
      </c>
      <c r="O95" s="396" t="s">
        <v>1259</v>
      </c>
      <c r="P95" s="396" t="s">
        <v>1260</v>
      </c>
      <c r="Q95" s="396" t="s">
        <v>1261</v>
      </c>
      <c r="R95" s="484"/>
    </row>
    <row r="96" spans="1:18" ht="13.5">
      <c r="A96" s="848" t="s">
        <v>1398</v>
      </c>
      <c r="B96" s="849"/>
      <c r="C96" s="522" t="s">
        <v>1289</v>
      </c>
      <c r="D96" s="538" t="s">
        <v>1403</v>
      </c>
      <c r="E96" s="524">
        <f>SUM(F96:Q96)</f>
        <v>2400</v>
      </c>
      <c r="F96" s="525">
        <v>200</v>
      </c>
      <c r="G96" s="525">
        <v>200</v>
      </c>
      <c r="H96" s="525">
        <v>200</v>
      </c>
      <c r="I96" s="525">
        <v>200</v>
      </c>
      <c r="J96" s="525">
        <v>200</v>
      </c>
      <c r="K96" s="525">
        <v>200</v>
      </c>
      <c r="L96" s="525">
        <v>200</v>
      </c>
      <c r="M96" s="525">
        <v>200</v>
      </c>
      <c r="N96" s="525">
        <v>200</v>
      </c>
      <c r="O96" s="525">
        <v>200</v>
      </c>
      <c r="P96" s="525">
        <v>200</v>
      </c>
      <c r="Q96" s="525">
        <v>200</v>
      </c>
      <c r="R96" s="469"/>
    </row>
    <row r="97" spans="1:18" ht="13.5">
      <c r="A97" s="846" t="s">
        <v>1400</v>
      </c>
      <c r="B97" s="847"/>
      <c r="C97" s="539" t="s">
        <v>1289</v>
      </c>
      <c r="D97" s="540" t="s">
        <v>1403</v>
      </c>
      <c r="E97" s="541">
        <f>SUM(F97:Q97)</f>
        <v>1200</v>
      </c>
      <c r="F97" s="542">
        <v>100</v>
      </c>
      <c r="G97" s="542">
        <v>100</v>
      </c>
      <c r="H97" s="542">
        <v>100</v>
      </c>
      <c r="I97" s="542">
        <v>100</v>
      </c>
      <c r="J97" s="542">
        <v>100</v>
      </c>
      <c r="K97" s="542">
        <v>100</v>
      </c>
      <c r="L97" s="542">
        <v>100</v>
      </c>
      <c r="M97" s="542">
        <v>100</v>
      </c>
      <c r="N97" s="542">
        <v>100</v>
      </c>
      <c r="O97" s="542">
        <v>100</v>
      </c>
      <c r="P97" s="542">
        <v>100</v>
      </c>
      <c r="Q97" s="542">
        <v>100</v>
      </c>
      <c r="R97" s="484"/>
    </row>
    <row r="98" spans="1:18" ht="13.5">
      <c r="A98" s="476" t="s">
        <v>1327</v>
      </c>
      <c r="B98" s="476" t="s">
        <v>1352</v>
      </c>
      <c r="C98" s="476" t="s">
        <v>1289</v>
      </c>
      <c r="D98" s="477" t="s">
        <v>1402</v>
      </c>
      <c r="E98" s="478">
        <f>SUM(E96:E97)</f>
        <v>3600</v>
      </c>
      <c r="F98" s="505">
        <f aca="true" t="shared" si="10" ref="F98:Q98">SUM(F96:F97)</f>
        <v>300</v>
      </c>
      <c r="G98" s="505">
        <f t="shared" si="10"/>
        <v>300</v>
      </c>
      <c r="H98" s="505">
        <f t="shared" si="10"/>
        <v>300</v>
      </c>
      <c r="I98" s="505">
        <f t="shared" si="10"/>
        <v>300</v>
      </c>
      <c r="J98" s="505">
        <f t="shared" si="10"/>
        <v>300</v>
      </c>
      <c r="K98" s="505">
        <f t="shared" si="10"/>
        <v>300</v>
      </c>
      <c r="L98" s="505">
        <f t="shared" si="10"/>
        <v>300</v>
      </c>
      <c r="M98" s="505">
        <f t="shared" si="10"/>
        <v>300</v>
      </c>
      <c r="N98" s="505">
        <f t="shared" si="10"/>
        <v>300</v>
      </c>
      <c r="O98" s="505">
        <f t="shared" si="10"/>
        <v>300</v>
      </c>
      <c r="P98" s="505">
        <f t="shared" si="10"/>
        <v>300</v>
      </c>
      <c r="Q98" s="505">
        <f t="shared" si="10"/>
        <v>300</v>
      </c>
      <c r="R98" s="484"/>
    </row>
    <row r="99" spans="1:18" ht="13.5">
      <c r="A99" s="300"/>
      <c r="B99" s="300"/>
      <c r="C99" s="300"/>
      <c r="D99" s="481"/>
      <c r="E99" s="482"/>
      <c r="F99" s="483"/>
      <c r="G99" s="483"/>
      <c r="H99" s="483"/>
      <c r="I99" s="483"/>
      <c r="J99" s="483"/>
      <c r="K99" s="483"/>
      <c r="L99" s="483"/>
      <c r="M99" s="483"/>
      <c r="N99" s="483"/>
      <c r="O99" s="483"/>
      <c r="P99" s="483"/>
      <c r="Q99" s="483"/>
      <c r="R99" s="484"/>
    </row>
    <row r="100" spans="1:18" ht="13.5">
      <c r="A100" s="300"/>
      <c r="B100" s="300"/>
      <c r="C100" s="300"/>
      <c r="D100" s="481"/>
      <c r="E100" s="396" t="s">
        <v>799</v>
      </c>
      <c r="F100" s="396" t="s">
        <v>1250</v>
      </c>
      <c r="G100" s="396" t="s">
        <v>1251</v>
      </c>
      <c r="H100" s="396" t="s">
        <v>1252</v>
      </c>
      <c r="I100" s="396" t="s">
        <v>1253</v>
      </c>
      <c r="J100" s="396" t="s">
        <v>1254</v>
      </c>
      <c r="K100" s="396" t="s">
        <v>1255</v>
      </c>
      <c r="L100" s="396" t="s">
        <v>1256</v>
      </c>
      <c r="M100" s="396" t="s">
        <v>1257</v>
      </c>
      <c r="N100" s="396" t="s">
        <v>1258</v>
      </c>
      <c r="O100" s="396" t="s">
        <v>1259</v>
      </c>
      <c r="P100" s="396" t="s">
        <v>1260</v>
      </c>
      <c r="Q100" s="396" t="s">
        <v>1261</v>
      </c>
      <c r="R100" s="484"/>
    </row>
    <row r="101" spans="1:18" ht="13.5">
      <c r="A101" s="848" t="s">
        <v>1398</v>
      </c>
      <c r="B101" s="849"/>
      <c r="C101" s="522" t="s">
        <v>524</v>
      </c>
      <c r="D101" s="538" t="s">
        <v>1399</v>
      </c>
      <c r="E101" s="524">
        <f>SUM(F101:Q101)</f>
        <v>10800</v>
      </c>
      <c r="F101" s="525">
        <f>300*3</f>
        <v>900</v>
      </c>
      <c r="G101" s="525">
        <f aca="true" t="shared" si="11" ref="G101:Q101">300*3</f>
        <v>900</v>
      </c>
      <c r="H101" s="525">
        <f t="shared" si="11"/>
        <v>900</v>
      </c>
      <c r="I101" s="525">
        <f t="shared" si="11"/>
        <v>900</v>
      </c>
      <c r="J101" s="525">
        <f t="shared" si="11"/>
        <v>900</v>
      </c>
      <c r="K101" s="525">
        <f t="shared" si="11"/>
        <v>900</v>
      </c>
      <c r="L101" s="525">
        <f t="shared" si="11"/>
        <v>900</v>
      </c>
      <c r="M101" s="525">
        <f t="shared" si="11"/>
        <v>900</v>
      </c>
      <c r="N101" s="525">
        <f t="shared" si="11"/>
        <v>900</v>
      </c>
      <c r="O101" s="525">
        <f t="shared" si="11"/>
        <v>900</v>
      </c>
      <c r="P101" s="525">
        <f t="shared" si="11"/>
        <v>900</v>
      </c>
      <c r="Q101" s="525">
        <f t="shared" si="11"/>
        <v>900</v>
      </c>
      <c r="R101" s="469"/>
    </row>
    <row r="102" spans="1:18" ht="13.5">
      <c r="A102" s="846" t="s">
        <v>1400</v>
      </c>
      <c r="B102" s="847"/>
      <c r="C102" s="539" t="s">
        <v>524</v>
      </c>
      <c r="D102" s="540" t="s">
        <v>1399</v>
      </c>
      <c r="E102" s="541">
        <f>SUM(F102:Q102)</f>
        <v>12600</v>
      </c>
      <c r="F102" s="542">
        <f>250*3</f>
        <v>750</v>
      </c>
      <c r="G102" s="542">
        <f aca="true" t="shared" si="12" ref="G102:Q102">250*3</f>
        <v>750</v>
      </c>
      <c r="H102" s="542">
        <f>250*3+'[3]MDA'!O30</f>
        <v>1950</v>
      </c>
      <c r="I102" s="542">
        <f t="shared" si="12"/>
        <v>750</v>
      </c>
      <c r="J102" s="542">
        <f>250*3+'[3]MDA'!G31</f>
        <v>1950</v>
      </c>
      <c r="K102" s="542">
        <f t="shared" si="12"/>
        <v>750</v>
      </c>
      <c r="L102" s="542">
        <f t="shared" si="12"/>
        <v>750</v>
      </c>
      <c r="M102" s="542">
        <f t="shared" si="12"/>
        <v>750</v>
      </c>
      <c r="N102" s="542">
        <f t="shared" si="12"/>
        <v>750</v>
      </c>
      <c r="O102" s="542">
        <f t="shared" si="12"/>
        <v>750</v>
      </c>
      <c r="P102" s="542">
        <f>250*3+'[3]MDA'!O30</f>
        <v>1950</v>
      </c>
      <c r="Q102" s="542">
        <f t="shared" si="12"/>
        <v>750</v>
      </c>
      <c r="R102" s="484" t="s">
        <v>1404</v>
      </c>
    </row>
    <row r="103" spans="1:18" ht="13.5">
      <c r="A103" s="476" t="s">
        <v>1327</v>
      </c>
      <c r="B103" s="476" t="s">
        <v>1352</v>
      </c>
      <c r="C103" s="476" t="s">
        <v>524</v>
      </c>
      <c r="D103" s="477" t="s">
        <v>1402</v>
      </c>
      <c r="E103" s="478">
        <f>SUM(E101:E102)</f>
        <v>23400</v>
      </c>
      <c r="F103" s="505">
        <f aca="true" t="shared" si="13" ref="F103:Q103">SUM(F101:F102)</f>
        <v>1650</v>
      </c>
      <c r="G103" s="505">
        <f t="shared" si="13"/>
        <v>1650</v>
      </c>
      <c r="H103" s="505">
        <f t="shared" si="13"/>
        <v>2850</v>
      </c>
      <c r="I103" s="505">
        <f t="shared" si="13"/>
        <v>1650</v>
      </c>
      <c r="J103" s="505">
        <f t="shared" si="13"/>
        <v>2850</v>
      </c>
      <c r="K103" s="505">
        <f t="shared" si="13"/>
        <v>1650</v>
      </c>
      <c r="L103" s="505">
        <f t="shared" si="13"/>
        <v>1650</v>
      </c>
      <c r="M103" s="505">
        <f t="shared" si="13"/>
        <v>1650</v>
      </c>
      <c r="N103" s="505">
        <f t="shared" si="13"/>
        <v>1650</v>
      </c>
      <c r="O103" s="505">
        <f t="shared" si="13"/>
        <v>1650</v>
      </c>
      <c r="P103" s="505">
        <f t="shared" si="13"/>
        <v>2850</v>
      </c>
      <c r="Q103" s="505">
        <f t="shared" si="13"/>
        <v>1650</v>
      </c>
      <c r="R103" s="484"/>
    </row>
    <row r="104" spans="1:18" ht="13.5">
      <c r="A104" s="300"/>
      <c r="B104" s="300"/>
      <c r="C104" s="300"/>
      <c r="D104" s="481"/>
      <c r="E104" s="482"/>
      <c r="F104" s="483"/>
      <c r="G104" s="483"/>
      <c r="H104" s="483"/>
      <c r="I104" s="483"/>
      <c r="J104" s="483"/>
      <c r="K104" s="483"/>
      <c r="L104" s="483"/>
      <c r="M104" s="483"/>
      <c r="N104" s="483"/>
      <c r="O104" s="483"/>
      <c r="P104" s="483"/>
      <c r="Q104" s="483"/>
      <c r="R104" s="484"/>
    </row>
    <row r="105" spans="1:18" ht="13.5">
      <c r="A105" s="300"/>
      <c r="B105" s="300"/>
      <c r="C105" s="300"/>
      <c r="D105" s="481"/>
      <c r="E105" s="396" t="s">
        <v>799</v>
      </c>
      <c r="F105" s="396" t="s">
        <v>1250</v>
      </c>
      <c r="G105" s="396" t="s">
        <v>1251</v>
      </c>
      <c r="H105" s="396" t="s">
        <v>1252</v>
      </c>
      <c r="I105" s="396" t="s">
        <v>1253</v>
      </c>
      <c r="J105" s="396" t="s">
        <v>1254</v>
      </c>
      <c r="K105" s="396" t="s">
        <v>1255</v>
      </c>
      <c r="L105" s="396" t="s">
        <v>1256</v>
      </c>
      <c r="M105" s="396" t="s">
        <v>1257</v>
      </c>
      <c r="N105" s="396" t="s">
        <v>1258</v>
      </c>
      <c r="O105" s="396" t="s">
        <v>1259</v>
      </c>
      <c r="P105" s="396" t="s">
        <v>1260</v>
      </c>
      <c r="Q105" s="396" t="s">
        <v>1261</v>
      </c>
      <c r="R105" s="484"/>
    </row>
    <row r="106" spans="1:18" ht="13.5">
      <c r="A106" s="848" t="s">
        <v>1398</v>
      </c>
      <c r="B106" s="849"/>
      <c r="C106" s="522" t="s">
        <v>526</v>
      </c>
      <c r="D106" s="538" t="s">
        <v>1405</v>
      </c>
      <c r="E106" s="524">
        <f>SUM(F106:Q106)</f>
        <v>7200</v>
      </c>
      <c r="F106" s="525">
        <f>300*2</f>
        <v>600</v>
      </c>
      <c r="G106" s="525">
        <f aca="true" t="shared" si="14" ref="G106:Q106">300*2</f>
        <v>600</v>
      </c>
      <c r="H106" s="525">
        <f t="shared" si="14"/>
        <v>600</v>
      </c>
      <c r="I106" s="525">
        <f t="shared" si="14"/>
        <v>600</v>
      </c>
      <c r="J106" s="525">
        <f t="shared" si="14"/>
        <v>600</v>
      </c>
      <c r="K106" s="525">
        <f t="shared" si="14"/>
        <v>600</v>
      </c>
      <c r="L106" s="525">
        <f t="shared" si="14"/>
        <v>600</v>
      </c>
      <c r="M106" s="525">
        <f t="shared" si="14"/>
        <v>600</v>
      </c>
      <c r="N106" s="525">
        <f t="shared" si="14"/>
        <v>600</v>
      </c>
      <c r="O106" s="525">
        <f t="shared" si="14"/>
        <v>600</v>
      </c>
      <c r="P106" s="525">
        <f t="shared" si="14"/>
        <v>600</v>
      </c>
      <c r="Q106" s="525">
        <f t="shared" si="14"/>
        <v>600</v>
      </c>
      <c r="R106" s="469"/>
    </row>
    <row r="107" spans="1:18" ht="13.5">
      <c r="A107" s="846" t="s">
        <v>1400</v>
      </c>
      <c r="B107" s="847"/>
      <c r="C107" s="539" t="s">
        <v>526</v>
      </c>
      <c r="D107" s="540" t="s">
        <v>1405</v>
      </c>
      <c r="E107" s="541">
        <f>SUM(F107:Q107)</f>
        <v>7050</v>
      </c>
      <c r="F107" s="542">
        <f>250*2</f>
        <v>500</v>
      </c>
      <c r="G107" s="542">
        <f aca="true" t="shared" si="15" ref="G107:Q107">250*2</f>
        <v>500</v>
      </c>
      <c r="H107" s="542">
        <f t="shared" si="15"/>
        <v>500</v>
      </c>
      <c r="I107" s="542">
        <f t="shared" si="15"/>
        <v>500</v>
      </c>
      <c r="J107" s="542">
        <f>250*2+'[3]MDA'!O47</f>
        <v>1550</v>
      </c>
      <c r="K107" s="542">
        <f t="shared" si="15"/>
        <v>500</v>
      </c>
      <c r="L107" s="542">
        <f t="shared" si="15"/>
        <v>500</v>
      </c>
      <c r="M107" s="542">
        <f t="shared" si="15"/>
        <v>500</v>
      </c>
      <c r="N107" s="542">
        <f t="shared" si="15"/>
        <v>500</v>
      </c>
      <c r="O107" s="542">
        <f t="shared" si="15"/>
        <v>500</v>
      </c>
      <c r="P107" s="542">
        <f t="shared" si="15"/>
        <v>500</v>
      </c>
      <c r="Q107" s="542">
        <f t="shared" si="15"/>
        <v>500</v>
      </c>
      <c r="R107" s="484" t="s">
        <v>1404</v>
      </c>
    </row>
    <row r="108" spans="1:18" ht="13.5">
      <c r="A108" s="476" t="s">
        <v>1327</v>
      </c>
      <c r="B108" s="476" t="s">
        <v>1352</v>
      </c>
      <c r="C108" s="476" t="s">
        <v>526</v>
      </c>
      <c r="D108" s="477" t="s">
        <v>1402</v>
      </c>
      <c r="E108" s="478">
        <f>SUM(E106:E107)</f>
        <v>14250</v>
      </c>
      <c r="F108" s="505">
        <f aca="true" t="shared" si="16" ref="F108:Q108">SUM(F106:F107)</f>
        <v>1100</v>
      </c>
      <c r="G108" s="505">
        <f t="shared" si="16"/>
        <v>1100</v>
      </c>
      <c r="H108" s="505">
        <f t="shared" si="16"/>
        <v>1100</v>
      </c>
      <c r="I108" s="505">
        <f t="shared" si="16"/>
        <v>1100</v>
      </c>
      <c r="J108" s="505">
        <f t="shared" si="16"/>
        <v>2150</v>
      </c>
      <c r="K108" s="505">
        <f t="shared" si="16"/>
        <v>1100</v>
      </c>
      <c r="L108" s="505">
        <f t="shared" si="16"/>
        <v>1100</v>
      </c>
      <c r="M108" s="505">
        <f t="shared" si="16"/>
        <v>1100</v>
      </c>
      <c r="N108" s="505">
        <f t="shared" si="16"/>
        <v>1100</v>
      </c>
      <c r="O108" s="505">
        <f t="shared" si="16"/>
        <v>1100</v>
      </c>
      <c r="P108" s="505">
        <f t="shared" si="16"/>
        <v>1100</v>
      </c>
      <c r="Q108" s="505">
        <f t="shared" si="16"/>
        <v>1100</v>
      </c>
      <c r="R108" s="484"/>
    </row>
    <row r="109" spans="1:18" ht="13.5">
      <c r="A109" s="300"/>
      <c r="B109" s="300"/>
      <c r="C109" s="300"/>
      <c r="D109" s="481"/>
      <c r="E109" s="482"/>
      <c r="F109" s="483"/>
      <c r="G109" s="483"/>
      <c r="H109" s="483"/>
      <c r="I109" s="483"/>
      <c r="J109" s="483"/>
      <c r="K109" s="483"/>
      <c r="L109" s="483"/>
      <c r="M109" s="483"/>
      <c r="N109" s="483"/>
      <c r="O109" s="483"/>
      <c r="P109" s="483"/>
      <c r="Q109" s="483"/>
      <c r="R109" s="484"/>
    </row>
    <row r="110" spans="1:18" ht="13.5">
      <c r="A110" s="300"/>
      <c r="B110" s="300"/>
      <c r="C110" s="300"/>
      <c r="D110" s="481"/>
      <c r="E110" s="396" t="s">
        <v>799</v>
      </c>
      <c r="F110" s="396" t="s">
        <v>1250</v>
      </c>
      <c r="G110" s="396" t="s">
        <v>1251</v>
      </c>
      <c r="H110" s="396" t="s">
        <v>1252</v>
      </c>
      <c r="I110" s="396" t="s">
        <v>1253</v>
      </c>
      <c r="J110" s="396" t="s">
        <v>1254</v>
      </c>
      <c r="K110" s="396" t="s">
        <v>1255</v>
      </c>
      <c r="L110" s="396" t="s">
        <v>1256</v>
      </c>
      <c r="M110" s="396" t="s">
        <v>1257</v>
      </c>
      <c r="N110" s="396" t="s">
        <v>1258</v>
      </c>
      <c r="O110" s="396" t="s">
        <v>1259</v>
      </c>
      <c r="P110" s="396" t="s">
        <v>1260</v>
      </c>
      <c r="Q110" s="396" t="s">
        <v>1261</v>
      </c>
      <c r="R110" s="484"/>
    </row>
    <row r="111" spans="1:18" ht="13.5">
      <c r="A111" s="848" t="s">
        <v>1398</v>
      </c>
      <c r="B111" s="849"/>
      <c r="C111" s="522" t="s">
        <v>1263</v>
      </c>
      <c r="D111" s="538" t="s">
        <v>1403</v>
      </c>
      <c r="E111" s="524">
        <f>SUM(F111:Q111)</f>
        <v>3600</v>
      </c>
      <c r="F111" s="525">
        <v>300</v>
      </c>
      <c r="G111" s="525">
        <v>300</v>
      </c>
      <c r="H111" s="525">
        <v>300</v>
      </c>
      <c r="I111" s="525">
        <v>300</v>
      </c>
      <c r="J111" s="525">
        <v>300</v>
      </c>
      <c r="K111" s="525">
        <v>300</v>
      </c>
      <c r="L111" s="525">
        <v>300</v>
      </c>
      <c r="M111" s="525">
        <v>300</v>
      </c>
      <c r="N111" s="525">
        <v>300</v>
      </c>
      <c r="O111" s="525">
        <v>300</v>
      </c>
      <c r="P111" s="525">
        <v>300</v>
      </c>
      <c r="Q111" s="525">
        <v>300</v>
      </c>
      <c r="R111" s="469"/>
    </row>
    <row r="112" spans="1:18" ht="13.5">
      <c r="A112" s="846" t="s">
        <v>1400</v>
      </c>
      <c r="B112" s="847"/>
      <c r="C112" s="539" t="s">
        <v>1263</v>
      </c>
      <c r="D112" s="540" t="s">
        <v>1403</v>
      </c>
      <c r="E112" s="541">
        <f>SUM(F112:Q112)</f>
        <v>4050</v>
      </c>
      <c r="F112" s="542">
        <v>250</v>
      </c>
      <c r="G112" s="542">
        <v>250</v>
      </c>
      <c r="H112" s="542">
        <v>250</v>
      </c>
      <c r="I112" s="542">
        <f>250+'[3]MDA'!O14</f>
        <v>1300</v>
      </c>
      <c r="J112" s="542">
        <v>250</v>
      </c>
      <c r="K112" s="542">
        <v>250</v>
      </c>
      <c r="L112" s="542">
        <v>250</v>
      </c>
      <c r="M112" s="542">
        <v>250</v>
      </c>
      <c r="N112" s="542">
        <v>250</v>
      </c>
      <c r="O112" s="542">
        <v>250</v>
      </c>
      <c r="P112" s="542">
        <v>250</v>
      </c>
      <c r="Q112" s="542">
        <v>250</v>
      </c>
      <c r="R112" s="484" t="s">
        <v>1404</v>
      </c>
    </row>
    <row r="113" spans="1:18" ht="13.5">
      <c r="A113" s="476" t="s">
        <v>1327</v>
      </c>
      <c r="B113" s="476" t="s">
        <v>1352</v>
      </c>
      <c r="C113" s="476" t="s">
        <v>1263</v>
      </c>
      <c r="D113" s="477" t="s">
        <v>1402</v>
      </c>
      <c r="E113" s="478">
        <f>SUM(E111:E112)</f>
        <v>7650</v>
      </c>
      <c r="F113" s="505">
        <f aca="true" t="shared" si="17" ref="F113:Q113">SUM(F111:F112)</f>
        <v>550</v>
      </c>
      <c r="G113" s="505">
        <f t="shared" si="17"/>
        <v>550</v>
      </c>
      <c r="H113" s="505">
        <f t="shared" si="17"/>
        <v>550</v>
      </c>
      <c r="I113" s="505">
        <f t="shared" si="17"/>
        <v>1600</v>
      </c>
      <c r="J113" s="505">
        <f t="shared" si="17"/>
        <v>550</v>
      </c>
      <c r="K113" s="505">
        <f t="shared" si="17"/>
        <v>550</v>
      </c>
      <c r="L113" s="505">
        <f t="shared" si="17"/>
        <v>550</v>
      </c>
      <c r="M113" s="505">
        <f t="shared" si="17"/>
        <v>550</v>
      </c>
      <c r="N113" s="505">
        <f t="shared" si="17"/>
        <v>550</v>
      </c>
      <c r="O113" s="505">
        <f t="shared" si="17"/>
        <v>550</v>
      </c>
      <c r="P113" s="505">
        <f t="shared" si="17"/>
        <v>550</v>
      </c>
      <c r="Q113" s="505">
        <f t="shared" si="17"/>
        <v>550</v>
      </c>
      <c r="R113" s="484"/>
    </row>
    <row r="114" spans="1:18" ht="13.5">
      <c r="A114" s="300"/>
      <c r="B114" s="300"/>
      <c r="C114" s="300"/>
      <c r="D114" s="481"/>
      <c r="E114" s="482"/>
      <c r="F114" s="483"/>
      <c r="G114" s="483"/>
      <c r="H114" s="483"/>
      <c r="I114" s="483"/>
      <c r="J114" s="483"/>
      <c r="K114" s="483"/>
      <c r="L114" s="483"/>
      <c r="M114" s="483"/>
      <c r="N114" s="483"/>
      <c r="O114" s="483"/>
      <c r="P114" s="483"/>
      <c r="Q114" s="483"/>
      <c r="R114" s="484"/>
    </row>
    <row r="115" spans="1:18" ht="13.5">
      <c r="A115" s="300"/>
      <c r="B115" s="300"/>
      <c r="C115" s="300"/>
      <c r="D115" s="481"/>
      <c r="E115" s="482"/>
      <c r="F115" s="483"/>
      <c r="G115" s="483"/>
      <c r="H115" s="483"/>
      <c r="I115" s="483"/>
      <c r="J115" s="483"/>
      <c r="K115" s="483"/>
      <c r="L115" s="483"/>
      <c r="M115" s="483"/>
      <c r="N115" s="483"/>
      <c r="O115" s="483"/>
      <c r="P115" s="483"/>
      <c r="Q115" s="483"/>
      <c r="R115" s="484"/>
    </row>
    <row r="116" spans="1:18" ht="13.5">
      <c r="A116" s="300"/>
      <c r="B116" s="300"/>
      <c r="C116" s="300"/>
      <c r="D116" s="481"/>
      <c r="E116" s="396" t="s">
        <v>799</v>
      </c>
      <c r="F116" s="396" t="s">
        <v>1250</v>
      </c>
      <c r="G116" s="396" t="s">
        <v>1251</v>
      </c>
      <c r="H116" s="396" t="s">
        <v>1252</v>
      </c>
      <c r="I116" s="396" t="s">
        <v>1253</v>
      </c>
      <c r="J116" s="396" t="s">
        <v>1254</v>
      </c>
      <c r="K116" s="396" t="s">
        <v>1255</v>
      </c>
      <c r="L116" s="396" t="s">
        <v>1256</v>
      </c>
      <c r="M116" s="396" t="s">
        <v>1257</v>
      </c>
      <c r="N116" s="396" t="s">
        <v>1258</v>
      </c>
      <c r="O116" s="396" t="s">
        <v>1259</v>
      </c>
      <c r="P116" s="396" t="s">
        <v>1260</v>
      </c>
      <c r="Q116" s="396" t="s">
        <v>1261</v>
      </c>
      <c r="R116" s="484"/>
    </row>
    <row r="117" spans="1:18" ht="13.5">
      <c r="A117" s="848" t="s">
        <v>1406</v>
      </c>
      <c r="B117" s="849"/>
      <c r="C117" s="522" t="s">
        <v>1262</v>
      </c>
      <c r="D117" s="543" t="s">
        <v>1407</v>
      </c>
      <c r="E117" s="524">
        <f>SUM(F117:Q117)</f>
        <v>1162.5</v>
      </c>
      <c r="F117" s="525">
        <f>50*3/2</f>
        <v>75</v>
      </c>
      <c r="G117" s="525">
        <f aca="true" t="shared" si="18" ref="G117:J118">50*3/2</f>
        <v>75</v>
      </c>
      <c r="H117" s="525">
        <f t="shared" si="18"/>
        <v>75</v>
      </c>
      <c r="I117" s="525">
        <f t="shared" si="18"/>
        <v>75</v>
      </c>
      <c r="J117" s="525">
        <f t="shared" si="18"/>
        <v>75</v>
      </c>
      <c r="K117" s="525">
        <f>50*3*0.75</f>
        <v>112.5</v>
      </c>
      <c r="L117" s="525">
        <f aca="true" t="shared" si="19" ref="L117:Q118">50*3*0.75</f>
        <v>112.5</v>
      </c>
      <c r="M117" s="525">
        <f t="shared" si="19"/>
        <v>112.5</v>
      </c>
      <c r="N117" s="525">
        <f t="shared" si="19"/>
        <v>112.5</v>
      </c>
      <c r="O117" s="525">
        <f t="shared" si="19"/>
        <v>112.5</v>
      </c>
      <c r="P117" s="525">
        <f t="shared" si="19"/>
        <v>112.5</v>
      </c>
      <c r="Q117" s="525">
        <f t="shared" si="19"/>
        <v>112.5</v>
      </c>
      <c r="R117" s="469"/>
    </row>
    <row r="118" spans="1:18" ht="13.5">
      <c r="A118" s="846" t="s">
        <v>328</v>
      </c>
      <c r="B118" s="847"/>
      <c r="C118" s="539" t="s">
        <v>1262</v>
      </c>
      <c r="D118" s="466" t="s">
        <v>1407</v>
      </c>
      <c r="E118" s="541">
        <f>SUM(F118:Q118)</f>
        <v>1162.5</v>
      </c>
      <c r="F118" s="542">
        <f>50*3/2</f>
        <v>75</v>
      </c>
      <c r="G118" s="542">
        <f t="shared" si="18"/>
        <v>75</v>
      </c>
      <c r="H118" s="542">
        <f t="shared" si="18"/>
        <v>75</v>
      </c>
      <c r="I118" s="542">
        <f t="shared" si="18"/>
        <v>75</v>
      </c>
      <c r="J118" s="542">
        <f t="shared" si="18"/>
        <v>75</v>
      </c>
      <c r="K118" s="542">
        <f>50*3*0.75</f>
        <v>112.5</v>
      </c>
      <c r="L118" s="542">
        <f t="shared" si="19"/>
        <v>112.5</v>
      </c>
      <c r="M118" s="542">
        <f t="shared" si="19"/>
        <v>112.5</v>
      </c>
      <c r="N118" s="542">
        <f t="shared" si="19"/>
        <v>112.5</v>
      </c>
      <c r="O118" s="542">
        <f t="shared" si="19"/>
        <v>112.5</v>
      </c>
      <c r="P118" s="542">
        <f t="shared" si="19"/>
        <v>112.5</v>
      </c>
      <c r="Q118" s="542">
        <f t="shared" si="19"/>
        <v>112.5</v>
      </c>
      <c r="R118" s="484"/>
    </row>
    <row r="119" spans="1:18" ht="13.5">
      <c r="A119" s="476" t="s">
        <v>1327</v>
      </c>
      <c r="B119" s="476" t="s">
        <v>1352</v>
      </c>
      <c r="C119" s="476" t="s">
        <v>1262</v>
      </c>
      <c r="D119" s="477" t="s">
        <v>1408</v>
      </c>
      <c r="E119" s="478">
        <f>SUM(E117:E118)</f>
        <v>2325</v>
      </c>
      <c r="F119" s="505">
        <f aca="true" t="shared" si="20" ref="F119:Q119">SUM(F117:F118)</f>
        <v>150</v>
      </c>
      <c r="G119" s="505">
        <f t="shared" si="20"/>
        <v>150</v>
      </c>
      <c r="H119" s="505">
        <f t="shared" si="20"/>
        <v>150</v>
      </c>
      <c r="I119" s="505">
        <f t="shared" si="20"/>
        <v>150</v>
      </c>
      <c r="J119" s="505">
        <f t="shared" si="20"/>
        <v>150</v>
      </c>
      <c r="K119" s="505">
        <f t="shared" si="20"/>
        <v>225</v>
      </c>
      <c r="L119" s="505">
        <f t="shared" si="20"/>
        <v>225</v>
      </c>
      <c r="M119" s="505">
        <f t="shared" si="20"/>
        <v>225</v>
      </c>
      <c r="N119" s="505">
        <f t="shared" si="20"/>
        <v>225</v>
      </c>
      <c r="O119" s="505">
        <f t="shared" si="20"/>
        <v>225</v>
      </c>
      <c r="P119" s="505">
        <f t="shared" si="20"/>
        <v>225</v>
      </c>
      <c r="Q119" s="505">
        <f t="shared" si="20"/>
        <v>225</v>
      </c>
      <c r="R119" s="484"/>
    </row>
    <row r="120" spans="1:18" ht="13.5">
      <c r="A120" s="300"/>
      <c r="B120" s="300"/>
      <c r="C120" s="300"/>
      <c r="D120" s="481"/>
      <c r="E120" s="482"/>
      <c r="F120" s="483"/>
      <c r="G120" s="483"/>
      <c r="H120" s="483"/>
      <c r="I120" s="483"/>
      <c r="J120" s="483"/>
      <c r="K120" s="483"/>
      <c r="L120" s="483"/>
      <c r="M120" s="483"/>
      <c r="N120" s="483"/>
      <c r="O120" s="483"/>
      <c r="P120" s="483"/>
      <c r="Q120" s="483"/>
      <c r="R120" s="484"/>
    </row>
    <row r="121" spans="1:18" ht="13.5">
      <c r="A121" s="300"/>
      <c r="B121" s="300"/>
      <c r="C121" s="300"/>
      <c r="D121" s="481"/>
      <c r="E121" s="396" t="s">
        <v>799</v>
      </c>
      <c r="F121" s="396" t="s">
        <v>1250</v>
      </c>
      <c r="G121" s="396" t="s">
        <v>1251</v>
      </c>
      <c r="H121" s="396" t="s">
        <v>1252</v>
      </c>
      <c r="I121" s="396" t="s">
        <v>1253</v>
      </c>
      <c r="J121" s="396" t="s">
        <v>1254</v>
      </c>
      <c r="K121" s="396" t="s">
        <v>1255</v>
      </c>
      <c r="L121" s="396" t="s">
        <v>1256</v>
      </c>
      <c r="M121" s="396" t="s">
        <v>1257</v>
      </c>
      <c r="N121" s="396" t="s">
        <v>1258</v>
      </c>
      <c r="O121" s="396" t="s">
        <v>1259</v>
      </c>
      <c r="P121" s="396" t="s">
        <v>1260</v>
      </c>
      <c r="Q121" s="396" t="s">
        <v>1261</v>
      </c>
      <c r="R121" s="484"/>
    </row>
    <row r="122" spans="1:18" ht="13.5">
      <c r="A122" s="848" t="s">
        <v>1406</v>
      </c>
      <c r="B122" s="849"/>
      <c r="C122" s="522" t="s">
        <v>1289</v>
      </c>
      <c r="D122" s="538" t="s">
        <v>1409</v>
      </c>
      <c r="E122" s="524">
        <f>SUM(F122:Q122)</f>
        <v>600</v>
      </c>
      <c r="F122" s="525">
        <v>50</v>
      </c>
      <c r="G122" s="525">
        <v>50</v>
      </c>
      <c r="H122" s="525">
        <v>50</v>
      </c>
      <c r="I122" s="525">
        <v>50</v>
      </c>
      <c r="J122" s="525">
        <v>50</v>
      </c>
      <c r="K122" s="525">
        <v>50</v>
      </c>
      <c r="L122" s="525">
        <v>50</v>
      </c>
      <c r="M122" s="525">
        <v>50</v>
      </c>
      <c r="N122" s="525">
        <v>50</v>
      </c>
      <c r="O122" s="525">
        <v>50</v>
      </c>
      <c r="P122" s="525">
        <v>50</v>
      </c>
      <c r="Q122" s="525">
        <v>50</v>
      </c>
      <c r="R122" s="469"/>
    </row>
    <row r="123" spans="1:18" ht="13.5">
      <c r="A123" s="846" t="s">
        <v>328</v>
      </c>
      <c r="B123" s="847"/>
      <c r="C123" s="539" t="s">
        <v>1289</v>
      </c>
      <c r="D123" s="540" t="s">
        <v>1409</v>
      </c>
      <c r="E123" s="541">
        <f>SUM(F123:Q123)</f>
        <v>600</v>
      </c>
      <c r="F123" s="542">
        <v>50</v>
      </c>
      <c r="G123" s="542">
        <v>50</v>
      </c>
      <c r="H123" s="542">
        <v>50</v>
      </c>
      <c r="I123" s="542">
        <v>50</v>
      </c>
      <c r="J123" s="542">
        <v>50</v>
      </c>
      <c r="K123" s="542">
        <v>50</v>
      </c>
      <c r="L123" s="542">
        <v>50</v>
      </c>
      <c r="M123" s="542">
        <v>50</v>
      </c>
      <c r="N123" s="542">
        <v>50</v>
      </c>
      <c r="O123" s="542">
        <v>50</v>
      </c>
      <c r="P123" s="542">
        <v>50</v>
      </c>
      <c r="Q123" s="542">
        <v>50</v>
      </c>
      <c r="R123" s="484"/>
    </row>
    <row r="124" spans="1:18" ht="13.5">
      <c r="A124" s="476" t="s">
        <v>1327</v>
      </c>
      <c r="B124" s="476" t="s">
        <v>1352</v>
      </c>
      <c r="C124" s="476" t="s">
        <v>1289</v>
      </c>
      <c r="D124" s="477" t="s">
        <v>1408</v>
      </c>
      <c r="E124" s="478">
        <f>SUM(E122:E123)</f>
        <v>1200</v>
      </c>
      <c r="F124" s="505">
        <f aca="true" t="shared" si="21" ref="F124:Q124">SUM(F122:F123)</f>
        <v>100</v>
      </c>
      <c r="G124" s="505">
        <f t="shared" si="21"/>
        <v>100</v>
      </c>
      <c r="H124" s="505">
        <f t="shared" si="21"/>
        <v>100</v>
      </c>
      <c r="I124" s="505">
        <f t="shared" si="21"/>
        <v>100</v>
      </c>
      <c r="J124" s="505">
        <f t="shared" si="21"/>
        <v>100</v>
      </c>
      <c r="K124" s="505">
        <f t="shared" si="21"/>
        <v>100</v>
      </c>
      <c r="L124" s="505">
        <f t="shared" si="21"/>
        <v>100</v>
      </c>
      <c r="M124" s="505">
        <f t="shared" si="21"/>
        <v>100</v>
      </c>
      <c r="N124" s="505">
        <f t="shared" si="21"/>
        <v>100</v>
      </c>
      <c r="O124" s="505">
        <f t="shared" si="21"/>
        <v>100</v>
      </c>
      <c r="P124" s="505">
        <f t="shared" si="21"/>
        <v>100</v>
      </c>
      <c r="Q124" s="505">
        <f t="shared" si="21"/>
        <v>100</v>
      </c>
      <c r="R124" s="484"/>
    </row>
    <row r="125" spans="1:18" ht="13.5">
      <c r="A125" s="300"/>
      <c r="B125" s="300"/>
      <c r="C125" s="300"/>
      <c r="D125" s="481"/>
      <c r="E125" s="482"/>
      <c r="F125" s="483"/>
      <c r="G125" s="483"/>
      <c r="H125" s="483"/>
      <c r="I125" s="483"/>
      <c r="J125" s="483"/>
      <c r="K125" s="483"/>
      <c r="L125" s="483"/>
      <c r="M125" s="483"/>
      <c r="N125" s="483"/>
      <c r="O125" s="483"/>
      <c r="P125" s="483"/>
      <c r="Q125" s="483"/>
      <c r="R125" s="484"/>
    </row>
    <row r="126" spans="1:18" ht="13.5">
      <c r="A126" s="300"/>
      <c r="B126" s="300"/>
      <c r="C126" s="300"/>
      <c r="D126" s="481"/>
      <c r="E126" s="396" t="s">
        <v>799</v>
      </c>
      <c r="F126" s="396" t="s">
        <v>1250</v>
      </c>
      <c r="G126" s="396" t="s">
        <v>1251</v>
      </c>
      <c r="H126" s="396" t="s">
        <v>1252</v>
      </c>
      <c r="I126" s="396" t="s">
        <v>1253</v>
      </c>
      <c r="J126" s="396" t="s">
        <v>1254</v>
      </c>
      <c r="K126" s="396" t="s">
        <v>1255</v>
      </c>
      <c r="L126" s="396" t="s">
        <v>1256</v>
      </c>
      <c r="M126" s="396" t="s">
        <v>1257</v>
      </c>
      <c r="N126" s="396" t="s">
        <v>1258</v>
      </c>
      <c r="O126" s="396" t="s">
        <v>1259</v>
      </c>
      <c r="P126" s="396" t="s">
        <v>1260</v>
      </c>
      <c r="Q126" s="396" t="s">
        <v>1261</v>
      </c>
      <c r="R126" s="484"/>
    </row>
    <row r="127" spans="1:18" ht="13.5">
      <c r="A127" s="848" t="s">
        <v>1406</v>
      </c>
      <c r="B127" s="849"/>
      <c r="C127" s="522" t="s">
        <v>524</v>
      </c>
      <c r="D127" s="538" t="s">
        <v>1410</v>
      </c>
      <c r="E127" s="524">
        <f>SUM(F127:Q127)</f>
        <v>600</v>
      </c>
      <c r="F127" s="525">
        <f>50*2/2</f>
        <v>50</v>
      </c>
      <c r="G127" s="525">
        <f aca="true" t="shared" si="22" ref="G127:Q128">50*2/2</f>
        <v>50</v>
      </c>
      <c r="H127" s="525">
        <f t="shared" si="22"/>
        <v>50</v>
      </c>
      <c r="I127" s="525">
        <f t="shared" si="22"/>
        <v>50</v>
      </c>
      <c r="J127" s="525">
        <f t="shared" si="22"/>
        <v>50</v>
      </c>
      <c r="K127" s="525">
        <f t="shared" si="22"/>
        <v>50</v>
      </c>
      <c r="L127" s="525">
        <f t="shared" si="22"/>
        <v>50</v>
      </c>
      <c r="M127" s="525">
        <f t="shared" si="22"/>
        <v>50</v>
      </c>
      <c r="N127" s="525">
        <f t="shared" si="22"/>
        <v>50</v>
      </c>
      <c r="O127" s="525">
        <f t="shared" si="22"/>
        <v>50</v>
      </c>
      <c r="P127" s="525">
        <f t="shared" si="22"/>
        <v>50</v>
      </c>
      <c r="Q127" s="525">
        <f t="shared" si="22"/>
        <v>50</v>
      </c>
      <c r="R127" s="469"/>
    </row>
    <row r="128" spans="1:18" ht="13.5">
      <c r="A128" s="846" t="s">
        <v>328</v>
      </c>
      <c r="B128" s="847"/>
      <c r="C128" s="539" t="s">
        <v>524</v>
      </c>
      <c r="D128" s="540" t="s">
        <v>1410</v>
      </c>
      <c r="E128" s="541">
        <f>SUM(F128:Q128)</f>
        <v>600</v>
      </c>
      <c r="F128" s="542">
        <f>50*2/2</f>
        <v>50</v>
      </c>
      <c r="G128" s="542">
        <f t="shared" si="22"/>
        <v>50</v>
      </c>
      <c r="H128" s="542">
        <f t="shared" si="22"/>
        <v>50</v>
      </c>
      <c r="I128" s="542">
        <f t="shared" si="22"/>
        <v>50</v>
      </c>
      <c r="J128" s="542">
        <f t="shared" si="22"/>
        <v>50</v>
      </c>
      <c r="K128" s="542">
        <f t="shared" si="22"/>
        <v>50</v>
      </c>
      <c r="L128" s="542">
        <f t="shared" si="22"/>
        <v>50</v>
      </c>
      <c r="M128" s="542">
        <f t="shared" si="22"/>
        <v>50</v>
      </c>
      <c r="N128" s="542">
        <f t="shared" si="22"/>
        <v>50</v>
      </c>
      <c r="O128" s="542">
        <f t="shared" si="22"/>
        <v>50</v>
      </c>
      <c r="P128" s="542">
        <f t="shared" si="22"/>
        <v>50</v>
      </c>
      <c r="Q128" s="542">
        <f t="shared" si="22"/>
        <v>50</v>
      </c>
      <c r="R128" s="484"/>
    </row>
    <row r="129" spans="1:18" ht="13.5">
      <c r="A129" s="476" t="s">
        <v>1327</v>
      </c>
      <c r="B129" s="476" t="s">
        <v>1352</v>
      </c>
      <c r="C129" s="476" t="s">
        <v>524</v>
      </c>
      <c r="D129" s="477" t="s">
        <v>1408</v>
      </c>
      <c r="E129" s="478">
        <f>SUM(E127:E128)</f>
        <v>1200</v>
      </c>
      <c r="F129" s="505">
        <f aca="true" t="shared" si="23" ref="F129:Q129">SUM(F127:F128)</f>
        <v>100</v>
      </c>
      <c r="G129" s="505">
        <f t="shared" si="23"/>
        <v>100</v>
      </c>
      <c r="H129" s="505">
        <f t="shared" si="23"/>
        <v>100</v>
      </c>
      <c r="I129" s="505">
        <f t="shared" si="23"/>
        <v>100</v>
      </c>
      <c r="J129" s="505">
        <f t="shared" si="23"/>
        <v>100</v>
      </c>
      <c r="K129" s="505">
        <f t="shared" si="23"/>
        <v>100</v>
      </c>
      <c r="L129" s="505">
        <f t="shared" si="23"/>
        <v>100</v>
      </c>
      <c r="M129" s="505">
        <f t="shared" si="23"/>
        <v>100</v>
      </c>
      <c r="N129" s="505">
        <f t="shared" si="23"/>
        <v>100</v>
      </c>
      <c r="O129" s="505">
        <f t="shared" si="23"/>
        <v>100</v>
      </c>
      <c r="P129" s="505">
        <f t="shared" si="23"/>
        <v>100</v>
      </c>
      <c r="Q129" s="505">
        <f t="shared" si="23"/>
        <v>100</v>
      </c>
      <c r="R129" s="484"/>
    </row>
    <row r="130" spans="1:18" ht="13.5">
      <c r="A130" s="300"/>
      <c r="B130" s="300"/>
      <c r="C130" s="300"/>
      <c r="D130" s="481"/>
      <c r="E130" s="482"/>
      <c r="F130" s="483"/>
      <c r="G130" s="483"/>
      <c r="H130" s="483"/>
      <c r="I130" s="483"/>
      <c r="J130" s="483"/>
      <c r="K130" s="483"/>
      <c r="L130" s="483"/>
      <c r="M130" s="483"/>
      <c r="N130" s="483"/>
      <c r="O130" s="483"/>
      <c r="P130" s="483"/>
      <c r="Q130" s="483"/>
      <c r="R130" s="484"/>
    </row>
    <row r="131" spans="1:18" ht="13.5">
      <c r="A131" s="300"/>
      <c r="B131" s="300"/>
      <c r="C131" s="300"/>
      <c r="D131" s="481"/>
      <c r="E131" s="396" t="s">
        <v>799</v>
      </c>
      <c r="F131" s="396" t="s">
        <v>1250</v>
      </c>
      <c r="G131" s="396" t="s">
        <v>1251</v>
      </c>
      <c r="H131" s="396" t="s">
        <v>1252</v>
      </c>
      <c r="I131" s="396" t="s">
        <v>1253</v>
      </c>
      <c r="J131" s="396" t="s">
        <v>1254</v>
      </c>
      <c r="K131" s="396" t="s">
        <v>1255</v>
      </c>
      <c r="L131" s="396" t="s">
        <v>1256</v>
      </c>
      <c r="M131" s="396" t="s">
        <v>1257</v>
      </c>
      <c r="N131" s="396" t="s">
        <v>1258</v>
      </c>
      <c r="O131" s="396" t="s">
        <v>1259</v>
      </c>
      <c r="P131" s="396" t="s">
        <v>1260</v>
      </c>
      <c r="Q131" s="396" t="s">
        <v>1261</v>
      </c>
      <c r="R131" s="484"/>
    </row>
    <row r="132" spans="1:18" ht="13.5">
      <c r="A132" s="848" t="s">
        <v>1406</v>
      </c>
      <c r="B132" s="849"/>
      <c r="C132" s="522" t="s">
        <v>526</v>
      </c>
      <c r="D132" s="538" t="s">
        <v>1410</v>
      </c>
      <c r="E132" s="524">
        <f>SUM(F132:Q132)</f>
        <v>600</v>
      </c>
      <c r="F132" s="525">
        <f>50*2/2</f>
        <v>50</v>
      </c>
      <c r="G132" s="525">
        <f aca="true" t="shared" si="24" ref="G132:Q133">50*2/2</f>
        <v>50</v>
      </c>
      <c r="H132" s="525">
        <f t="shared" si="24"/>
        <v>50</v>
      </c>
      <c r="I132" s="525">
        <f t="shared" si="24"/>
        <v>50</v>
      </c>
      <c r="J132" s="525">
        <f t="shared" si="24"/>
        <v>50</v>
      </c>
      <c r="K132" s="525">
        <f t="shared" si="24"/>
        <v>50</v>
      </c>
      <c r="L132" s="525">
        <f t="shared" si="24"/>
        <v>50</v>
      </c>
      <c r="M132" s="525">
        <f t="shared" si="24"/>
        <v>50</v>
      </c>
      <c r="N132" s="525">
        <f t="shared" si="24"/>
        <v>50</v>
      </c>
      <c r="O132" s="525">
        <f t="shared" si="24"/>
        <v>50</v>
      </c>
      <c r="P132" s="525">
        <f t="shared" si="24"/>
        <v>50</v>
      </c>
      <c r="Q132" s="525">
        <f t="shared" si="24"/>
        <v>50</v>
      </c>
      <c r="R132" s="469"/>
    </row>
    <row r="133" spans="1:18" ht="13.5">
      <c r="A133" s="846" t="s">
        <v>328</v>
      </c>
      <c r="B133" s="847"/>
      <c r="C133" s="539" t="s">
        <v>526</v>
      </c>
      <c r="D133" s="540" t="s">
        <v>1411</v>
      </c>
      <c r="E133" s="541">
        <f>SUM(F133:Q133)</f>
        <v>600</v>
      </c>
      <c r="F133" s="542">
        <f>50*2/2</f>
        <v>50</v>
      </c>
      <c r="G133" s="542">
        <f t="shared" si="24"/>
        <v>50</v>
      </c>
      <c r="H133" s="542">
        <f t="shared" si="24"/>
        <v>50</v>
      </c>
      <c r="I133" s="542">
        <f t="shared" si="24"/>
        <v>50</v>
      </c>
      <c r="J133" s="542">
        <f t="shared" si="24"/>
        <v>50</v>
      </c>
      <c r="K133" s="542">
        <f t="shared" si="24"/>
        <v>50</v>
      </c>
      <c r="L133" s="542">
        <f t="shared" si="24"/>
        <v>50</v>
      </c>
      <c r="M133" s="542">
        <f t="shared" si="24"/>
        <v>50</v>
      </c>
      <c r="N133" s="542">
        <f t="shared" si="24"/>
        <v>50</v>
      </c>
      <c r="O133" s="542">
        <f t="shared" si="24"/>
        <v>50</v>
      </c>
      <c r="P133" s="542">
        <f t="shared" si="24"/>
        <v>50</v>
      </c>
      <c r="Q133" s="542">
        <f t="shared" si="24"/>
        <v>50</v>
      </c>
      <c r="R133" s="484"/>
    </row>
    <row r="134" spans="1:18" ht="13.5">
      <c r="A134" s="476" t="s">
        <v>1327</v>
      </c>
      <c r="B134" s="476" t="s">
        <v>1352</v>
      </c>
      <c r="C134" s="476" t="s">
        <v>526</v>
      </c>
      <c r="D134" s="477" t="s">
        <v>1408</v>
      </c>
      <c r="E134" s="478">
        <f>SUM(E132:E133)</f>
        <v>1200</v>
      </c>
      <c r="F134" s="505">
        <f aca="true" t="shared" si="25" ref="F134:Q134">SUM(F132:F133)</f>
        <v>100</v>
      </c>
      <c r="G134" s="505">
        <f t="shared" si="25"/>
        <v>100</v>
      </c>
      <c r="H134" s="505">
        <f t="shared" si="25"/>
        <v>100</v>
      </c>
      <c r="I134" s="505">
        <f t="shared" si="25"/>
        <v>100</v>
      </c>
      <c r="J134" s="505">
        <f t="shared" si="25"/>
        <v>100</v>
      </c>
      <c r="K134" s="505">
        <f t="shared" si="25"/>
        <v>100</v>
      </c>
      <c r="L134" s="505">
        <f t="shared" si="25"/>
        <v>100</v>
      </c>
      <c r="M134" s="505">
        <f t="shared" si="25"/>
        <v>100</v>
      </c>
      <c r="N134" s="505">
        <f t="shared" si="25"/>
        <v>100</v>
      </c>
      <c r="O134" s="505">
        <f t="shared" si="25"/>
        <v>100</v>
      </c>
      <c r="P134" s="505">
        <f t="shared" si="25"/>
        <v>100</v>
      </c>
      <c r="Q134" s="505">
        <f t="shared" si="25"/>
        <v>100</v>
      </c>
      <c r="R134" s="484"/>
    </row>
    <row r="135" spans="1:18" ht="13.5">
      <c r="A135" s="300"/>
      <c r="B135" s="300"/>
      <c r="C135" s="300"/>
      <c r="D135" s="481"/>
      <c r="E135" s="482"/>
      <c r="F135" s="483"/>
      <c r="G135" s="483"/>
      <c r="H135" s="483"/>
      <c r="I135" s="483"/>
      <c r="J135" s="483"/>
      <c r="K135" s="483"/>
      <c r="L135" s="483"/>
      <c r="M135" s="483"/>
      <c r="N135" s="483"/>
      <c r="O135" s="483"/>
      <c r="P135" s="483"/>
      <c r="Q135" s="483"/>
      <c r="R135" s="484"/>
    </row>
    <row r="136" spans="1:18" ht="13.5">
      <c r="A136" s="300"/>
      <c r="B136" s="300"/>
      <c r="C136" s="300"/>
      <c r="D136" s="481"/>
      <c r="E136" s="396" t="s">
        <v>799</v>
      </c>
      <c r="F136" s="396" t="s">
        <v>1250</v>
      </c>
      <c r="G136" s="396" t="s">
        <v>1251</v>
      </c>
      <c r="H136" s="396" t="s">
        <v>1252</v>
      </c>
      <c r="I136" s="396" t="s">
        <v>1253</v>
      </c>
      <c r="J136" s="396" t="s">
        <v>1254</v>
      </c>
      <c r="K136" s="396" t="s">
        <v>1255</v>
      </c>
      <c r="L136" s="396" t="s">
        <v>1256</v>
      </c>
      <c r="M136" s="396" t="s">
        <v>1257</v>
      </c>
      <c r="N136" s="396" t="s">
        <v>1258</v>
      </c>
      <c r="O136" s="396" t="s">
        <v>1259</v>
      </c>
      <c r="P136" s="396" t="s">
        <v>1260</v>
      </c>
      <c r="Q136" s="396" t="s">
        <v>1261</v>
      </c>
      <c r="R136" s="484"/>
    </row>
    <row r="137" spans="1:18" ht="13.5">
      <c r="A137" s="848" t="s">
        <v>1406</v>
      </c>
      <c r="B137" s="849"/>
      <c r="C137" s="522" t="s">
        <v>1263</v>
      </c>
      <c r="D137" s="538" t="s">
        <v>1409</v>
      </c>
      <c r="E137" s="524">
        <f>SUM(F137:Q137)</f>
        <v>600</v>
      </c>
      <c r="F137" s="525">
        <v>50</v>
      </c>
      <c r="G137" s="525">
        <v>50</v>
      </c>
      <c r="H137" s="525">
        <v>50</v>
      </c>
      <c r="I137" s="525">
        <v>50</v>
      </c>
      <c r="J137" s="525">
        <v>50</v>
      </c>
      <c r="K137" s="525">
        <v>50</v>
      </c>
      <c r="L137" s="525">
        <v>50</v>
      </c>
      <c r="M137" s="525">
        <v>50</v>
      </c>
      <c r="N137" s="525">
        <v>50</v>
      </c>
      <c r="O137" s="525">
        <v>50</v>
      </c>
      <c r="P137" s="525">
        <v>50</v>
      </c>
      <c r="Q137" s="525">
        <v>50</v>
      </c>
      <c r="R137" s="469"/>
    </row>
    <row r="138" spans="1:18" ht="13.5">
      <c r="A138" s="846" t="s">
        <v>328</v>
      </c>
      <c r="B138" s="847"/>
      <c r="C138" s="539" t="s">
        <v>1263</v>
      </c>
      <c r="D138" s="540" t="s">
        <v>1409</v>
      </c>
      <c r="E138" s="541">
        <f>SUM(F138:Q138)</f>
        <v>600</v>
      </c>
      <c r="F138" s="542">
        <v>50</v>
      </c>
      <c r="G138" s="542">
        <v>50</v>
      </c>
      <c r="H138" s="542">
        <v>50</v>
      </c>
      <c r="I138" s="542">
        <v>50</v>
      </c>
      <c r="J138" s="542">
        <v>50</v>
      </c>
      <c r="K138" s="542">
        <v>50</v>
      </c>
      <c r="L138" s="542">
        <v>50</v>
      </c>
      <c r="M138" s="542">
        <v>50</v>
      </c>
      <c r="N138" s="542">
        <v>50</v>
      </c>
      <c r="O138" s="542">
        <v>50</v>
      </c>
      <c r="P138" s="542">
        <v>50</v>
      </c>
      <c r="Q138" s="542">
        <v>50</v>
      </c>
      <c r="R138" s="484"/>
    </row>
    <row r="139" spans="1:18" ht="13.5">
      <c r="A139" s="476" t="s">
        <v>1327</v>
      </c>
      <c r="B139" s="476" t="s">
        <v>1352</v>
      </c>
      <c r="C139" s="476" t="s">
        <v>1263</v>
      </c>
      <c r="D139" s="477" t="s">
        <v>1408</v>
      </c>
      <c r="E139" s="478">
        <f>SUM(E137:E138)</f>
        <v>1200</v>
      </c>
      <c r="F139" s="505">
        <f aca="true" t="shared" si="26" ref="F139:Q139">SUM(F137:F138)</f>
        <v>100</v>
      </c>
      <c r="G139" s="505">
        <f t="shared" si="26"/>
        <v>100</v>
      </c>
      <c r="H139" s="505">
        <f t="shared" si="26"/>
        <v>100</v>
      </c>
      <c r="I139" s="505">
        <f t="shared" si="26"/>
        <v>100</v>
      </c>
      <c r="J139" s="505">
        <f t="shared" si="26"/>
        <v>100</v>
      </c>
      <c r="K139" s="505">
        <f t="shared" si="26"/>
        <v>100</v>
      </c>
      <c r="L139" s="505">
        <f t="shared" si="26"/>
        <v>100</v>
      </c>
      <c r="M139" s="505">
        <f t="shared" si="26"/>
        <v>100</v>
      </c>
      <c r="N139" s="505">
        <f t="shared" si="26"/>
        <v>100</v>
      </c>
      <c r="O139" s="505">
        <f t="shared" si="26"/>
        <v>100</v>
      </c>
      <c r="P139" s="505">
        <f t="shared" si="26"/>
        <v>100</v>
      </c>
      <c r="Q139" s="505">
        <f t="shared" si="26"/>
        <v>100</v>
      </c>
      <c r="R139" s="484"/>
    </row>
    <row r="140" spans="1:18" ht="13.5">
      <c r="A140" s="300"/>
      <c r="B140" s="300"/>
      <c r="C140" s="300"/>
      <c r="D140" s="481"/>
      <c r="E140" s="482"/>
      <c r="F140" s="483"/>
      <c r="G140" s="483"/>
      <c r="H140" s="483"/>
      <c r="I140" s="483"/>
      <c r="J140" s="483"/>
      <c r="K140" s="483"/>
      <c r="L140" s="483"/>
      <c r="M140" s="483"/>
      <c r="N140" s="483"/>
      <c r="O140" s="483"/>
      <c r="P140" s="483"/>
      <c r="Q140" s="483"/>
      <c r="R140" s="484"/>
    </row>
    <row r="141" spans="1:18" ht="13.5">
      <c r="A141" s="300"/>
      <c r="B141" s="300"/>
      <c r="C141" s="300"/>
      <c r="D141" s="481"/>
      <c r="E141" s="396" t="s">
        <v>799</v>
      </c>
      <c r="F141" s="396" t="s">
        <v>1250</v>
      </c>
      <c r="G141" s="396" t="s">
        <v>1251</v>
      </c>
      <c r="H141" s="396" t="s">
        <v>1252</v>
      </c>
      <c r="I141" s="396" t="s">
        <v>1253</v>
      </c>
      <c r="J141" s="396" t="s">
        <v>1254</v>
      </c>
      <c r="K141" s="396" t="s">
        <v>1255</v>
      </c>
      <c r="L141" s="396" t="s">
        <v>1256</v>
      </c>
      <c r="M141" s="396" t="s">
        <v>1257</v>
      </c>
      <c r="N141" s="396" t="s">
        <v>1258</v>
      </c>
      <c r="O141" s="396" t="s">
        <v>1259</v>
      </c>
      <c r="P141" s="396" t="s">
        <v>1260</v>
      </c>
      <c r="Q141" s="396" t="s">
        <v>1261</v>
      </c>
      <c r="R141" s="484"/>
    </row>
    <row r="142" spans="1:18" ht="13.5">
      <c r="A142" s="476" t="s">
        <v>1327</v>
      </c>
      <c r="B142" s="476" t="s">
        <v>1352</v>
      </c>
      <c r="C142" s="476" t="s">
        <v>1262</v>
      </c>
      <c r="D142" s="504" t="s">
        <v>819</v>
      </c>
      <c r="E142" s="478">
        <f>SUM(F142:Q142)</f>
        <v>3500</v>
      </c>
      <c r="F142" s="505">
        <v>0</v>
      </c>
      <c r="G142" s="505">
        <v>3500</v>
      </c>
      <c r="H142" s="505">
        <v>0</v>
      </c>
      <c r="I142" s="505">
        <v>0</v>
      </c>
      <c r="J142" s="505">
        <v>0</v>
      </c>
      <c r="K142" s="505">
        <v>0</v>
      </c>
      <c r="L142" s="505">
        <v>0</v>
      </c>
      <c r="M142" s="505">
        <v>0</v>
      </c>
      <c r="N142" s="505">
        <v>0</v>
      </c>
      <c r="O142" s="505">
        <v>0</v>
      </c>
      <c r="P142" s="505">
        <v>0</v>
      </c>
      <c r="Q142" s="505">
        <v>0</v>
      </c>
      <c r="R142" s="480"/>
    </row>
    <row r="143" spans="1:18" ht="13.5">
      <c r="A143" s="300"/>
      <c r="B143" s="300"/>
      <c r="C143" s="300"/>
      <c r="D143" s="544"/>
      <c r="E143" s="482"/>
      <c r="F143" s="482"/>
      <c r="G143" s="482"/>
      <c r="H143" s="482"/>
      <c r="I143" s="482"/>
      <c r="J143" s="482"/>
      <c r="K143" s="482"/>
      <c r="L143" s="482"/>
      <c r="M143" s="482"/>
      <c r="N143" s="482"/>
      <c r="O143" s="482"/>
      <c r="P143" s="482"/>
      <c r="Q143" s="482"/>
      <c r="R143" s="484"/>
    </row>
    <row r="144" spans="1:18" ht="13.5">
      <c r="A144" s="300"/>
      <c r="B144" s="300"/>
      <c r="C144" s="300"/>
      <c r="D144" s="544"/>
      <c r="E144" s="396" t="s">
        <v>799</v>
      </c>
      <c r="F144" s="396" t="s">
        <v>1250</v>
      </c>
      <c r="G144" s="396" t="s">
        <v>1251</v>
      </c>
      <c r="H144" s="396" t="s">
        <v>1252</v>
      </c>
      <c r="I144" s="396" t="s">
        <v>1253</v>
      </c>
      <c r="J144" s="396" t="s">
        <v>1254</v>
      </c>
      <c r="K144" s="396" t="s">
        <v>1255</v>
      </c>
      <c r="L144" s="396" t="s">
        <v>1256</v>
      </c>
      <c r="M144" s="396" t="s">
        <v>1257</v>
      </c>
      <c r="N144" s="396" t="s">
        <v>1258</v>
      </c>
      <c r="O144" s="396" t="s">
        <v>1259</v>
      </c>
      <c r="P144" s="396" t="s">
        <v>1260</v>
      </c>
      <c r="Q144" s="396" t="s">
        <v>1261</v>
      </c>
      <c r="R144" s="484"/>
    </row>
    <row r="145" spans="1:18" ht="13.5">
      <c r="A145" s="476" t="s">
        <v>1327</v>
      </c>
      <c r="B145" s="476" t="s">
        <v>546</v>
      </c>
      <c r="C145" s="476" t="s">
        <v>1262</v>
      </c>
      <c r="D145" s="504" t="s">
        <v>1412</v>
      </c>
      <c r="E145" s="478">
        <f>SUM(F145:Q145)</f>
        <v>6000</v>
      </c>
      <c r="F145" s="545">
        <v>0</v>
      </c>
      <c r="G145" s="545">
        <v>0</v>
      </c>
      <c r="H145" s="546">
        <v>2000</v>
      </c>
      <c r="I145" s="546">
        <v>2000</v>
      </c>
      <c r="J145" s="546">
        <v>0</v>
      </c>
      <c r="K145" s="546">
        <v>0</v>
      </c>
      <c r="L145" s="546">
        <v>0</v>
      </c>
      <c r="M145" s="546">
        <v>0</v>
      </c>
      <c r="N145" s="546">
        <v>0</v>
      </c>
      <c r="O145" s="546">
        <v>0</v>
      </c>
      <c r="P145" s="546">
        <v>2000</v>
      </c>
      <c r="Q145" s="547">
        <v>0</v>
      </c>
      <c r="R145" s="484"/>
    </row>
    <row r="146" spans="1:18" ht="13.5">
      <c r="A146" s="331"/>
      <c r="B146" s="331"/>
      <c r="C146" s="331"/>
      <c r="D146" s="331"/>
      <c r="E146" s="331"/>
      <c r="F146" s="331"/>
      <c r="G146" s="331"/>
      <c r="H146" s="331"/>
      <c r="I146" s="331"/>
      <c r="J146" s="331"/>
      <c r="K146" s="331"/>
      <c r="L146" s="331"/>
      <c r="M146" s="331"/>
      <c r="N146" s="331"/>
      <c r="O146" s="331"/>
      <c r="P146" s="331"/>
      <c r="Q146" s="331"/>
      <c r="R146" s="331"/>
    </row>
    <row r="147" spans="1:18" ht="13.5">
      <c r="A147" s="831"/>
      <c r="B147" s="832"/>
      <c r="C147" s="832"/>
      <c r="D147" s="834"/>
      <c r="E147" s="548" t="s">
        <v>799</v>
      </c>
      <c r="F147" s="548" t="s">
        <v>1250</v>
      </c>
      <c r="G147" s="548" t="s">
        <v>1251</v>
      </c>
      <c r="H147" s="548" t="s">
        <v>1252</v>
      </c>
      <c r="I147" s="548" t="s">
        <v>1253</v>
      </c>
      <c r="J147" s="548" t="s">
        <v>1254</v>
      </c>
      <c r="K147" s="548" t="s">
        <v>1255</v>
      </c>
      <c r="L147" s="548" t="s">
        <v>1256</v>
      </c>
      <c r="M147" s="548" t="s">
        <v>1257</v>
      </c>
      <c r="N147" s="548" t="s">
        <v>1258</v>
      </c>
      <c r="O147" s="548" t="s">
        <v>1259</v>
      </c>
      <c r="P147" s="548" t="s">
        <v>1260</v>
      </c>
      <c r="Q147" s="548" t="s">
        <v>1261</v>
      </c>
      <c r="R147" s="549"/>
    </row>
    <row r="148" spans="1:18" ht="13.5">
      <c r="A148" s="550" t="s">
        <v>1327</v>
      </c>
      <c r="B148" s="550" t="s">
        <v>546</v>
      </c>
      <c r="C148" s="550" t="s">
        <v>522</v>
      </c>
      <c r="D148" s="551" t="s">
        <v>1413</v>
      </c>
      <c r="E148" s="552">
        <f>SUM(F148:Q148)</f>
        <v>1200</v>
      </c>
      <c r="F148" s="553">
        <v>0</v>
      </c>
      <c r="G148" s="553">
        <f>'[3]MDA'!G31</f>
        <v>1200</v>
      </c>
      <c r="H148" s="553">
        <v>0</v>
      </c>
      <c r="I148" s="553">
        <v>0</v>
      </c>
      <c r="J148" s="553">
        <v>0</v>
      </c>
      <c r="K148" s="553">
        <v>0</v>
      </c>
      <c r="L148" s="553">
        <v>0</v>
      </c>
      <c r="M148" s="553">
        <v>0</v>
      </c>
      <c r="N148" s="553">
        <v>0</v>
      </c>
      <c r="O148" s="553">
        <v>0</v>
      </c>
      <c r="P148" s="553">
        <v>0</v>
      </c>
      <c r="Q148" s="553">
        <v>0</v>
      </c>
      <c r="R148" s="554" t="s">
        <v>1414</v>
      </c>
    </row>
    <row r="149" spans="1:18" ht="19.5">
      <c r="A149" s="555" t="s">
        <v>1327</v>
      </c>
      <c r="B149" s="555" t="s">
        <v>546</v>
      </c>
      <c r="C149" s="555" t="s">
        <v>524</v>
      </c>
      <c r="D149" s="556" t="s">
        <v>1413</v>
      </c>
      <c r="E149" s="557">
        <f>SUM(F149:Q149)</f>
        <v>3600</v>
      </c>
      <c r="F149" s="558">
        <v>0</v>
      </c>
      <c r="G149" s="558">
        <v>0</v>
      </c>
      <c r="H149" s="558">
        <f>'[3]MDA'!O30</f>
        <v>1200</v>
      </c>
      <c r="I149" s="558">
        <v>0</v>
      </c>
      <c r="J149" s="558">
        <f>'[3]MDA'!G31</f>
        <v>1200</v>
      </c>
      <c r="K149" s="558">
        <v>0</v>
      </c>
      <c r="L149" s="558">
        <v>0</v>
      </c>
      <c r="M149" s="558">
        <v>0</v>
      </c>
      <c r="N149" s="558">
        <v>0</v>
      </c>
      <c r="O149" s="558">
        <v>0</v>
      </c>
      <c r="P149" s="558">
        <f>'[3]MDA'!O30</f>
        <v>1200</v>
      </c>
      <c r="Q149" s="558">
        <v>0</v>
      </c>
      <c r="R149" s="559" t="s">
        <v>1414</v>
      </c>
    </row>
    <row r="150" spans="1:18" ht="19.5">
      <c r="A150" s="555" t="s">
        <v>1327</v>
      </c>
      <c r="B150" s="555" t="s">
        <v>546</v>
      </c>
      <c r="C150" s="555" t="s">
        <v>526</v>
      </c>
      <c r="D150" s="556" t="s">
        <v>1413</v>
      </c>
      <c r="E150" s="557">
        <f>SUM(F150:Q150)</f>
        <v>1050</v>
      </c>
      <c r="F150" s="558">
        <v>0</v>
      </c>
      <c r="G150" s="558">
        <v>0</v>
      </c>
      <c r="H150" s="558">
        <v>0</v>
      </c>
      <c r="I150" s="558">
        <f>SUM('[3]MDA'!O182:O185)</f>
        <v>0</v>
      </c>
      <c r="J150" s="558">
        <f>'[3]MDA'!O47</f>
        <v>1050</v>
      </c>
      <c r="K150" s="558">
        <v>0</v>
      </c>
      <c r="L150" s="558">
        <v>0</v>
      </c>
      <c r="M150" s="558">
        <v>0</v>
      </c>
      <c r="N150" s="558">
        <v>0</v>
      </c>
      <c r="O150" s="558">
        <v>0</v>
      </c>
      <c r="P150" s="558">
        <v>0</v>
      </c>
      <c r="Q150" s="558">
        <v>0</v>
      </c>
      <c r="R150" s="559" t="s">
        <v>1414</v>
      </c>
    </row>
    <row r="151" spans="1:18" ht="19.5">
      <c r="A151" s="555" t="s">
        <v>1327</v>
      </c>
      <c r="B151" s="555" t="s">
        <v>546</v>
      </c>
      <c r="C151" s="555" t="s">
        <v>1263</v>
      </c>
      <c r="D151" s="556" t="s">
        <v>1413</v>
      </c>
      <c r="E151" s="557">
        <f>SUM(F151:Q151)</f>
        <v>1050</v>
      </c>
      <c r="F151" s="558">
        <v>0</v>
      </c>
      <c r="G151" s="558">
        <v>0</v>
      </c>
      <c r="H151" s="558">
        <v>0</v>
      </c>
      <c r="I151" s="558">
        <f>'[3]MDA'!O14</f>
        <v>1050</v>
      </c>
      <c r="J151" s="558">
        <f>SUM('[3]MDA'!O149:O152)</f>
        <v>0</v>
      </c>
      <c r="K151" s="558">
        <v>0</v>
      </c>
      <c r="L151" s="558">
        <v>0</v>
      </c>
      <c r="M151" s="558">
        <v>0</v>
      </c>
      <c r="N151" s="558">
        <v>0</v>
      </c>
      <c r="O151" s="558">
        <v>0</v>
      </c>
      <c r="P151" s="558">
        <v>0</v>
      </c>
      <c r="Q151" s="558">
        <v>0</v>
      </c>
      <c r="R151" s="559" t="s">
        <v>1414</v>
      </c>
    </row>
    <row r="152" spans="1:18" ht="19.5">
      <c r="A152" s="555" t="s">
        <v>1327</v>
      </c>
      <c r="B152" s="560" t="s">
        <v>546</v>
      </c>
      <c r="C152" s="560" t="s">
        <v>0</v>
      </c>
      <c r="D152" s="556" t="s">
        <v>1413</v>
      </c>
      <c r="E152" s="561">
        <f>SUM(F152:Q152)</f>
        <v>2400</v>
      </c>
      <c r="F152" s="562">
        <v>0</v>
      </c>
      <c r="G152" s="562">
        <v>0</v>
      </c>
      <c r="H152" s="562">
        <v>0</v>
      </c>
      <c r="I152" s="562">
        <v>0</v>
      </c>
      <c r="J152" s="562">
        <f>'[3]MDA'!G48</f>
        <v>1200</v>
      </c>
      <c r="K152" s="562">
        <f>'[3]MDA'!G48</f>
        <v>1200</v>
      </c>
      <c r="L152" s="562">
        <v>0</v>
      </c>
      <c r="M152" s="562">
        <v>0</v>
      </c>
      <c r="N152" s="562">
        <v>0</v>
      </c>
      <c r="O152" s="562">
        <v>0</v>
      </c>
      <c r="P152" s="562">
        <v>0</v>
      </c>
      <c r="Q152" s="562">
        <v>0</v>
      </c>
      <c r="R152" s="563" t="s">
        <v>1414</v>
      </c>
    </row>
    <row r="153" spans="1:18" ht="13.5">
      <c r="A153" s="331"/>
      <c r="B153" s="331"/>
      <c r="C153" s="331"/>
      <c r="D153" s="331"/>
      <c r="E153" s="331"/>
      <c r="F153" s="331"/>
      <c r="G153" s="331"/>
      <c r="H153" s="331"/>
      <c r="I153" s="331"/>
      <c r="J153" s="331"/>
      <c r="K153" s="331"/>
      <c r="L153" s="331"/>
      <c r="M153" s="331"/>
      <c r="N153" s="331"/>
      <c r="O153" s="331"/>
      <c r="P153" s="331"/>
      <c r="Q153" s="331"/>
      <c r="R153" s="331"/>
    </row>
    <row r="154" spans="1:18" ht="13.5">
      <c r="A154" s="331"/>
      <c r="B154" s="331"/>
      <c r="C154" s="331"/>
      <c r="D154" s="331"/>
      <c r="E154" s="331"/>
      <c r="F154" s="331"/>
      <c r="G154" s="331"/>
      <c r="H154" s="331"/>
      <c r="I154" s="331"/>
      <c r="J154" s="331"/>
      <c r="K154" s="331"/>
      <c r="L154" s="331"/>
      <c r="M154" s="331"/>
      <c r="N154" s="331"/>
      <c r="O154" s="331"/>
      <c r="P154" s="331"/>
      <c r="Q154" s="331"/>
      <c r="R154" s="331"/>
    </row>
    <row r="155" spans="1:18" ht="13.5">
      <c r="A155" s="331"/>
      <c r="B155" s="331"/>
      <c r="C155" s="331"/>
      <c r="D155" s="331"/>
      <c r="E155" s="331"/>
      <c r="F155" s="331"/>
      <c r="G155" s="331"/>
      <c r="H155" s="334"/>
      <c r="I155" s="331"/>
      <c r="J155" s="331"/>
      <c r="K155" s="331"/>
      <c r="L155" s="331"/>
      <c r="M155" s="331"/>
      <c r="N155" s="331"/>
      <c r="O155" s="331"/>
      <c r="P155" s="331"/>
      <c r="Q155" s="331"/>
      <c r="R155" s="331"/>
    </row>
    <row r="156" spans="1:18" ht="13.5">
      <c r="A156" s="331"/>
      <c r="B156" s="331"/>
      <c r="C156" s="331"/>
      <c r="D156" s="331"/>
      <c r="E156" s="331"/>
      <c r="F156" s="331"/>
      <c r="G156" s="331"/>
      <c r="H156" s="334"/>
      <c r="I156" s="331"/>
      <c r="J156" s="331"/>
      <c r="K156" s="331"/>
      <c r="L156" s="331"/>
      <c r="M156" s="331"/>
      <c r="N156" s="331"/>
      <c r="O156" s="331"/>
      <c r="P156" s="331"/>
      <c r="Q156" s="331"/>
      <c r="R156" s="331"/>
    </row>
    <row r="157" spans="1:18" ht="13.5">
      <c r="A157" s="331"/>
      <c r="B157" s="331"/>
      <c r="C157" s="331"/>
      <c r="D157" s="331"/>
      <c r="E157" s="331"/>
      <c r="F157" s="331"/>
      <c r="G157" s="331"/>
      <c r="H157" s="334"/>
      <c r="I157" s="331"/>
      <c r="J157" s="331"/>
      <c r="K157" s="331"/>
      <c r="L157" s="331"/>
      <c r="M157" s="331"/>
      <c r="N157" s="331"/>
      <c r="O157" s="331"/>
      <c r="P157" s="331"/>
      <c r="Q157" s="331"/>
      <c r="R157" s="331"/>
    </row>
    <row r="158" spans="1:18" ht="13.5">
      <c r="A158" s="331"/>
      <c r="B158" s="331"/>
      <c r="C158" s="331"/>
      <c r="D158" s="331"/>
      <c r="E158" s="331"/>
      <c r="F158" s="331"/>
      <c r="G158" s="331"/>
      <c r="H158" s="334"/>
      <c r="I158" s="331"/>
      <c r="J158" s="331"/>
      <c r="K158" s="331"/>
      <c r="L158" s="331"/>
      <c r="M158" s="331"/>
      <c r="N158" s="331"/>
      <c r="O158" s="331"/>
      <c r="P158" s="331"/>
      <c r="Q158" s="331"/>
      <c r="R158" s="331"/>
    </row>
    <row r="159" spans="1:18" ht="13.5">
      <c r="A159" s="331"/>
      <c r="B159" s="331"/>
      <c r="C159" s="331"/>
      <c r="D159" s="331"/>
      <c r="E159" s="331"/>
      <c r="F159" s="331"/>
      <c r="G159" s="331"/>
      <c r="H159" s="334"/>
      <c r="I159" s="331"/>
      <c r="J159" s="331"/>
      <c r="K159" s="331"/>
      <c r="L159" s="331"/>
      <c r="M159" s="331"/>
      <c r="N159" s="331"/>
      <c r="O159" s="331"/>
      <c r="P159" s="331"/>
      <c r="Q159" s="331"/>
      <c r="R159" s="331"/>
    </row>
    <row r="160" spans="1:18" ht="13.5">
      <c r="A160" s="331"/>
      <c r="B160" s="331"/>
      <c r="C160" s="331"/>
      <c r="D160" s="331"/>
      <c r="E160" s="331"/>
      <c r="F160" s="331"/>
      <c r="G160" s="331"/>
      <c r="H160" s="334"/>
      <c r="I160" s="331"/>
      <c r="J160" s="331"/>
      <c r="K160" s="331"/>
      <c r="L160" s="331"/>
      <c r="M160" s="331"/>
      <c r="N160" s="331"/>
      <c r="O160" s="331"/>
      <c r="P160" s="331"/>
      <c r="Q160" s="331"/>
      <c r="R160" s="331"/>
    </row>
    <row r="161" spans="1:18" ht="13.5">
      <c r="A161" s="331"/>
      <c r="B161" s="331"/>
      <c r="C161" s="331"/>
      <c r="D161" s="331"/>
      <c r="E161" s="331"/>
      <c r="F161" s="331"/>
      <c r="G161" s="331"/>
      <c r="H161" s="334"/>
      <c r="I161" s="331"/>
      <c r="J161" s="331"/>
      <c r="K161" s="331"/>
      <c r="L161" s="331"/>
      <c r="M161" s="331"/>
      <c r="N161" s="331"/>
      <c r="O161" s="331"/>
      <c r="P161" s="331"/>
      <c r="Q161" s="331"/>
      <c r="R161" s="331"/>
    </row>
    <row r="162" spans="1:18" ht="13.5">
      <c r="A162" s="331"/>
      <c r="B162" s="331"/>
      <c r="C162" s="331"/>
      <c r="D162" s="331"/>
      <c r="E162" s="331"/>
      <c r="F162" s="331"/>
      <c r="G162" s="331"/>
      <c r="H162" s="334"/>
      <c r="I162" s="331"/>
      <c r="J162" s="331"/>
      <c r="K162" s="331"/>
      <c r="L162" s="331"/>
      <c r="M162" s="331"/>
      <c r="N162" s="331"/>
      <c r="O162" s="331"/>
      <c r="P162" s="331"/>
      <c r="Q162" s="331"/>
      <c r="R162" s="331"/>
    </row>
    <row r="163" spans="1:18" ht="13.5">
      <c r="A163" s="331"/>
      <c r="B163" s="331"/>
      <c r="C163" s="331"/>
      <c r="D163" s="331"/>
      <c r="E163" s="331"/>
      <c r="F163" s="331"/>
      <c r="G163" s="331"/>
      <c r="H163" s="334"/>
      <c r="I163" s="331"/>
      <c r="J163" s="331"/>
      <c r="K163" s="331"/>
      <c r="L163" s="331"/>
      <c r="M163" s="331"/>
      <c r="N163" s="331"/>
      <c r="O163" s="331"/>
      <c r="P163" s="331"/>
      <c r="Q163" s="331"/>
      <c r="R163" s="331"/>
    </row>
    <row r="164" spans="1:18" ht="13.5">
      <c r="A164" s="331"/>
      <c r="B164" s="331"/>
      <c r="C164" s="331"/>
      <c r="D164" s="331"/>
      <c r="E164" s="331"/>
      <c r="F164" s="331"/>
      <c r="G164" s="331"/>
      <c r="H164" s="334"/>
      <c r="I164" s="331"/>
      <c r="J164" s="331"/>
      <c r="K164" s="331"/>
      <c r="L164" s="331"/>
      <c r="M164" s="331"/>
      <c r="N164" s="331"/>
      <c r="O164" s="331"/>
      <c r="P164" s="331"/>
      <c r="Q164" s="331"/>
      <c r="R164" s="331"/>
    </row>
    <row r="165" spans="1:18" ht="13.5">
      <c r="A165" s="331"/>
      <c r="B165" s="331"/>
      <c r="C165" s="331"/>
      <c r="D165" s="331"/>
      <c r="E165" s="331"/>
      <c r="F165" s="331"/>
      <c r="G165" s="331"/>
      <c r="H165" s="331"/>
      <c r="I165" s="331"/>
      <c r="J165" s="331"/>
      <c r="K165" s="331"/>
      <c r="L165" s="331"/>
      <c r="M165" s="331"/>
      <c r="N165" s="331"/>
      <c r="O165" s="331"/>
      <c r="P165" s="331"/>
      <c r="Q165" s="331"/>
      <c r="R165" s="331"/>
    </row>
    <row r="166" spans="1:18" ht="13.5">
      <c r="A166" s="331"/>
      <c r="B166" s="331"/>
      <c r="C166" s="331"/>
      <c r="D166" s="331"/>
      <c r="E166" s="331"/>
      <c r="F166" s="331"/>
      <c r="G166" s="331"/>
      <c r="H166" s="331"/>
      <c r="I166" s="331"/>
      <c r="J166" s="331"/>
      <c r="K166" s="331"/>
      <c r="L166" s="331"/>
      <c r="M166" s="331"/>
      <c r="N166" s="331"/>
      <c r="O166" s="331"/>
      <c r="P166" s="331"/>
      <c r="Q166" s="331"/>
      <c r="R166" s="331"/>
    </row>
    <row r="167" spans="1:18" ht="13.5">
      <c r="A167" s="331"/>
      <c r="B167" s="331"/>
      <c r="C167" s="331"/>
      <c r="D167" s="331"/>
      <c r="E167" s="331"/>
      <c r="F167" s="331"/>
      <c r="G167" s="331"/>
      <c r="H167" s="331"/>
      <c r="I167" s="331"/>
      <c r="J167" s="331"/>
      <c r="K167" s="331"/>
      <c r="L167" s="331"/>
      <c r="M167" s="331"/>
      <c r="N167" s="331"/>
      <c r="O167" s="331"/>
      <c r="P167" s="331"/>
      <c r="Q167" s="331"/>
      <c r="R167" s="331"/>
    </row>
    <row r="168" spans="1:18" ht="13.5">
      <c r="A168" s="331"/>
      <c r="B168" s="331"/>
      <c r="C168" s="331"/>
      <c r="D168" s="331"/>
      <c r="E168" s="331"/>
      <c r="F168" s="331"/>
      <c r="G168" s="331"/>
      <c r="H168" s="331"/>
      <c r="I168" s="331"/>
      <c r="J168" s="331"/>
      <c r="K168" s="331"/>
      <c r="L168" s="331"/>
      <c r="M168" s="331"/>
      <c r="N168" s="331"/>
      <c r="O168" s="331"/>
      <c r="P168" s="331"/>
      <c r="Q168" s="331"/>
      <c r="R168" s="331"/>
    </row>
  </sheetData>
  <sheetProtection/>
  <mergeCells count="43">
    <mergeCell ref="F2:H2"/>
    <mergeCell ref="I2:K2"/>
    <mergeCell ref="L2:N2"/>
    <mergeCell ref="O2:Q2"/>
    <mergeCell ref="A3:D3"/>
    <mergeCell ref="A7:B14"/>
    <mergeCell ref="C7:C14"/>
    <mergeCell ref="A16:D16"/>
    <mergeCell ref="A20:B27"/>
    <mergeCell ref="C20:C27"/>
    <mergeCell ref="A29:D29"/>
    <mergeCell ref="A33:B38"/>
    <mergeCell ref="C33:C38"/>
    <mergeCell ref="A40:D40"/>
    <mergeCell ref="A44:B45"/>
    <mergeCell ref="C44:C45"/>
    <mergeCell ref="A48:D48"/>
    <mergeCell ref="A52:B61"/>
    <mergeCell ref="C52:C61"/>
    <mergeCell ref="A67:B73"/>
    <mergeCell ref="C67:C73"/>
    <mergeCell ref="A77:B86"/>
    <mergeCell ref="A91:B91"/>
    <mergeCell ref="A92:B92"/>
    <mergeCell ref="A96:B96"/>
    <mergeCell ref="A97:B97"/>
    <mergeCell ref="A101:B101"/>
    <mergeCell ref="A102:B102"/>
    <mergeCell ref="A106:B106"/>
    <mergeCell ref="A107:B107"/>
    <mergeCell ref="A111:B111"/>
    <mergeCell ref="A112:B112"/>
    <mergeCell ref="A117:B117"/>
    <mergeCell ref="A118:B118"/>
    <mergeCell ref="A122:B122"/>
    <mergeCell ref="A123:B123"/>
    <mergeCell ref="A127:B127"/>
    <mergeCell ref="A128:B128"/>
    <mergeCell ref="A132:B132"/>
    <mergeCell ref="A133:B133"/>
    <mergeCell ref="A137:B137"/>
    <mergeCell ref="A138:B138"/>
    <mergeCell ref="A147:D147"/>
  </mergeCells>
  <printOp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dimension ref="A1:R3"/>
  <sheetViews>
    <sheetView workbookViewId="0" topLeftCell="A1">
      <selection activeCell="A1" sqref="A1"/>
    </sheetView>
  </sheetViews>
  <sheetFormatPr defaultColWidth="9.140625" defaultRowHeight="15"/>
  <cols>
    <col min="1" max="3" width="9.140625" style="1" customWidth="1"/>
    <col min="4" max="4" width="36.421875" style="1" bestFit="1" customWidth="1"/>
    <col min="5" max="16384" width="9.140625" style="1" customWidth="1"/>
  </cols>
  <sheetData>
    <row r="1" spans="1:18" ht="13.5">
      <c r="A1" s="331"/>
      <c r="B1" s="331"/>
      <c r="C1" s="331"/>
      <c r="D1" s="331"/>
      <c r="E1" s="335"/>
      <c r="F1" s="829" t="s">
        <v>1245</v>
      </c>
      <c r="G1" s="830"/>
      <c r="H1" s="830"/>
      <c r="I1" s="830" t="s">
        <v>1246</v>
      </c>
      <c r="J1" s="830"/>
      <c r="K1" s="830"/>
      <c r="L1" s="830" t="s">
        <v>1247</v>
      </c>
      <c r="M1" s="830"/>
      <c r="N1" s="830"/>
      <c r="O1" s="830" t="s">
        <v>1248</v>
      </c>
      <c r="P1" s="830"/>
      <c r="Q1" s="830"/>
      <c r="R1" s="331"/>
    </row>
    <row r="2" spans="1:18" ht="13.5">
      <c r="A2" s="842"/>
      <c r="B2" s="843"/>
      <c r="C2" s="843"/>
      <c r="D2" s="829"/>
      <c r="E2" s="396" t="s">
        <v>799</v>
      </c>
      <c r="F2" s="396" t="s">
        <v>1250</v>
      </c>
      <c r="G2" s="396" t="s">
        <v>1251</v>
      </c>
      <c r="H2" s="396" t="s">
        <v>1252</v>
      </c>
      <c r="I2" s="396" t="s">
        <v>1253</v>
      </c>
      <c r="J2" s="396" t="s">
        <v>1254</v>
      </c>
      <c r="K2" s="396" t="s">
        <v>1255</v>
      </c>
      <c r="L2" s="396" t="s">
        <v>1256</v>
      </c>
      <c r="M2" s="396" t="s">
        <v>1257</v>
      </c>
      <c r="N2" s="396" t="s">
        <v>1258</v>
      </c>
      <c r="O2" s="396" t="s">
        <v>1259</v>
      </c>
      <c r="P2" s="396" t="s">
        <v>1260</v>
      </c>
      <c r="Q2" s="396" t="s">
        <v>1261</v>
      </c>
      <c r="R2" s="448"/>
    </row>
    <row r="3" spans="1:18" ht="16.5" customHeight="1">
      <c r="A3" s="470" t="s">
        <v>1349</v>
      </c>
      <c r="B3" s="470" t="s">
        <v>546</v>
      </c>
      <c r="C3" s="470" t="s">
        <v>1262</v>
      </c>
      <c r="D3" s="471" t="s">
        <v>1350</v>
      </c>
      <c r="E3" s="472">
        <f>SUM(F3:Q3)</f>
        <v>33000</v>
      </c>
      <c r="F3" s="473">
        <v>0</v>
      </c>
      <c r="G3" s="473">
        <v>0</v>
      </c>
      <c r="H3" s="473">
        <v>0</v>
      </c>
      <c r="I3" s="473">
        <v>0</v>
      </c>
      <c r="J3" s="473">
        <v>33000</v>
      </c>
      <c r="K3" s="473">
        <v>0</v>
      </c>
      <c r="L3" s="473">
        <v>0</v>
      </c>
      <c r="M3" s="473">
        <v>0</v>
      </c>
      <c r="N3" s="473">
        <v>0</v>
      </c>
      <c r="O3" s="473">
        <v>0</v>
      </c>
      <c r="P3" s="473">
        <v>0</v>
      </c>
      <c r="Q3" s="473">
        <v>0</v>
      </c>
      <c r="R3" s="474" t="s">
        <v>1351</v>
      </c>
    </row>
  </sheetData>
  <sheetProtection/>
  <mergeCells count="5">
    <mergeCell ref="F1:H1"/>
    <mergeCell ref="I1:K1"/>
    <mergeCell ref="L1:N1"/>
    <mergeCell ref="O1:Q1"/>
    <mergeCell ref="A2:D2"/>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S63"/>
  <sheetViews>
    <sheetView zoomScale="85" zoomScaleNormal="85" workbookViewId="0" topLeftCell="A7">
      <pane xSplit="8" topLeftCell="AA1" activePane="topRight" state="frozen"/>
      <selection pane="topLeft" activeCell="A13" sqref="A13"/>
      <selection pane="topRight" activeCell="B23" sqref="B23:D23"/>
    </sheetView>
  </sheetViews>
  <sheetFormatPr defaultColWidth="11.421875" defaultRowHeight="15"/>
  <cols>
    <col min="1" max="1" width="5.28125" style="0" customWidth="1"/>
    <col min="2" max="2" width="35.421875" style="0" customWidth="1"/>
    <col min="3" max="3" width="10.140625" style="0" customWidth="1"/>
    <col min="4" max="4" width="8.8515625" style="0" customWidth="1"/>
    <col min="5" max="8" width="0" style="0" hidden="1" customWidth="1"/>
    <col min="9" max="9" width="13.00390625" style="0" customWidth="1"/>
    <col min="10" max="10" width="14.00390625" style="0" customWidth="1"/>
    <col min="11" max="11" width="14.00390625" style="1" customWidth="1"/>
    <col min="12" max="12" width="12.8515625" style="0" customWidth="1"/>
    <col min="13" max="13" width="12.8515625" style="1" customWidth="1"/>
    <col min="14" max="14" width="14.421875" style="0" customWidth="1"/>
    <col min="15" max="15" width="14.421875" style="1" customWidth="1"/>
    <col min="16" max="16" width="12.421875" style="0" customWidth="1"/>
    <col min="17" max="17" width="12.421875" style="1" customWidth="1"/>
    <col min="18" max="18" width="15.421875" style="0" customWidth="1"/>
    <col min="19" max="19" width="15.140625" style="0" customWidth="1"/>
    <col min="20" max="20" width="15.140625" style="1" customWidth="1"/>
    <col min="21" max="21" width="17.140625" style="1" customWidth="1"/>
    <col min="22" max="22" width="9.140625" style="0" customWidth="1"/>
    <col min="23" max="23" width="14.8515625" style="0" customWidth="1"/>
    <col min="24" max="39" width="14.8515625" style="1" customWidth="1"/>
    <col min="40" max="40" width="14.28125" style="0" customWidth="1"/>
    <col min="41" max="41" width="12.421875" style="0" customWidth="1"/>
    <col min="42" max="42" width="15.421875" style="0" customWidth="1"/>
    <col min="43" max="43" width="9.140625" style="0" customWidth="1"/>
    <col min="44" max="44" width="9.140625" style="32" customWidth="1"/>
  </cols>
  <sheetData>
    <row r="1" spans="1:2" ht="27" customHeight="1">
      <c r="A1" s="808" t="s">
        <v>60</v>
      </c>
      <c r="B1" s="808"/>
    </row>
    <row r="3" spans="1:3" ht="15.75" customHeight="1">
      <c r="A3" s="811" t="s">
        <v>51</v>
      </c>
      <c r="B3" s="812"/>
      <c r="C3" s="4" t="s">
        <v>62</v>
      </c>
    </row>
    <row r="4" spans="1:44" s="1" customFormat="1" ht="15.75" customHeight="1">
      <c r="A4" s="818" t="s">
        <v>56</v>
      </c>
      <c r="B4" s="819"/>
      <c r="C4" s="23"/>
      <c r="AR4" s="32"/>
    </row>
    <row r="5" spans="1:3" ht="15.75" customHeight="1">
      <c r="A5" s="813" t="s">
        <v>14</v>
      </c>
      <c r="B5" s="814"/>
      <c r="C5" s="5" t="s">
        <v>63</v>
      </c>
    </row>
    <row r="6" spans="1:3" ht="15.75" customHeight="1">
      <c r="A6" s="822" t="s">
        <v>15</v>
      </c>
      <c r="B6" s="823"/>
      <c r="C6" s="6" t="s">
        <v>41</v>
      </c>
    </row>
    <row r="7" ht="15.75" customHeight="1"/>
    <row r="8" spans="1:18" ht="15.75" customHeight="1">
      <c r="A8" s="815"/>
      <c r="B8" s="815"/>
      <c r="C8" s="815"/>
      <c r="D8" s="815"/>
      <c r="E8" s="7" t="s">
        <v>4</v>
      </c>
      <c r="F8" s="8" t="s">
        <v>5</v>
      </c>
      <c r="G8" s="8" t="s">
        <v>6</v>
      </c>
      <c r="H8" s="8" t="s">
        <v>7</v>
      </c>
      <c r="I8" s="9"/>
      <c r="J8" s="9" t="s">
        <v>20</v>
      </c>
      <c r="K8" s="9"/>
      <c r="L8" s="9" t="s">
        <v>21</v>
      </c>
      <c r="M8" s="9"/>
      <c r="N8" s="9" t="s">
        <v>22</v>
      </c>
      <c r="O8" s="9"/>
      <c r="P8" s="768" t="s">
        <v>23</v>
      </c>
      <c r="Q8" s="769"/>
      <c r="R8" s="10"/>
    </row>
    <row r="9" spans="1:18" ht="15.75" customHeight="1">
      <c r="A9" s="815" t="s">
        <v>16</v>
      </c>
      <c r="B9" s="815"/>
      <c r="C9" s="815"/>
      <c r="D9" s="815"/>
      <c r="E9" s="11"/>
      <c r="F9" s="11"/>
      <c r="G9" s="11"/>
      <c r="H9" s="11"/>
      <c r="I9" s="10"/>
      <c r="J9" s="11">
        <v>41730</v>
      </c>
      <c r="K9" s="11"/>
      <c r="L9" s="11">
        <v>41821</v>
      </c>
      <c r="M9" s="11"/>
      <c r="N9" s="11">
        <v>41913</v>
      </c>
      <c r="O9" s="11"/>
      <c r="P9" s="770">
        <v>42005</v>
      </c>
      <c r="Q9" s="771"/>
      <c r="R9" s="10"/>
    </row>
    <row r="10" spans="1:18" ht="15.75" customHeight="1">
      <c r="A10" s="815" t="s">
        <v>17</v>
      </c>
      <c r="B10" s="815"/>
      <c r="C10" s="815"/>
      <c r="D10" s="815"/>
      <c r="E10" s="11"/>
      <c r="F10" s="11"/>
      <c r="G10" s="11"/>
      <c r="H10" s="11"/>
      <c r="I10" s="10"/>
      <c r="J10" s="11">
        <v>41820</v>
      </c>
      <c r="K10" s="11"/>
      <c r="L10" s="11">
        <v>41912</v>
      </c>
      <c r="M10" s="11"/>
      <c r="N10" s="11">
        <v>42004</v>
      </c>
      <c r="O10" s="11"/>
      <c r="P10" s="770">
        <v>42094</v>
      </c>
      <c r="Q10" s="771"/>
      <c r="R10" s="10"/>
    </row>
    <row r="11" ht="15.75" customHeight="1"/>
    <row r="12" spans="1:43" ht="18" customHeight="1">
      <c r="A12" s="12" t="s">
        <v>19</v>
      </c>
      <c r="B12" s="14"/>
      <c r="C12" s="14"/>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ht="9.75" customHeight="1" thickBot="1"/>
    <row r="14" spans="1:43" ht="15.75" customHeight="1">
      <c r="A14" s="790" t="s">
        <v>25</v>
      </c>
      <c r="B14" s="790" t="s">
        <v>24</v>
      </c>
      <c r="C14" s="790"/>
      <c r="D14" s="790"/>
      <c r="E14" s="805" t="s">
        <v>2</v>
      </c>
      <c r="F14" s="805"/>
      <c r="G14" s="805"/>
      <c r="H14" s="805"/>
      <c r="I14" s="766" t="s">
        <v>3</v>
      </c>
      <c r="J14" s="805" t="s">
        <v>10</v>
      </c>
      <c r="K14" s="805"/>
      <c r="L14" s="805"/>
      <c r="M14" s="805"/>
      <c r="N14" s="805"/>
      <c r="O14" s="805"/>
      <c r="P14" s="805"/>
      <c r="Q14" s="260"/>
      <c r="R14" s="766" t="s">
        <v>11</v>
      </c>
      <c r="S14" s="766" t="s">
        <v>12</v>
      </c>
      <c r="T14" s="806" t="s">
        <v>1241</v>
      </c>
      <c r="U14" s="798" t="s">
        <v>1240</v>
      </c>
      <c r="V14" s="800" t="s">
        <v>18</v>
      </c>
      <c r="W14" s="791" t="s">
        <v>37</v>
      </c>
      <c r="X14" s="792"/>
      <c r="Y14" s="792"/>
      <c r="Z14" s="792"/>
      <c r="AA14" s="792"/>
      <c r="AB14" s="792"/>
      <c r="AC14" s="792"/>
      <c r="AD14" s="767"/>
      <c r="AE14" s="766" t="s">
        <v>37</v>
      </c>
      <c r="AF14" s="791" t="s">
        <v>38</v>
      </c>
      <c r="AG14" s="792"/>
      <c r="AH14" s="792"/>
      <c r="AI14" s="792"/>
      <c r="AJ14" s="792"/>
      <c r="AK14" s="792"/>
      <c r="AL14" s="792"/>
      <c r="AM14" s="767"/>
      <c r="AN14" s="766" t="s">
        <v>38</v>
      </c>
      <c r="AO14" s="766" t="s">
        <v>39</v>
      </c>
      <c r="AP14" s="790" t="s">
        <v>40</v>
      </c>
      <c r="AQ14" s="790" t="s">
        <v>18</v>
      </c>
    </row>
    <row r="15" spans="1:43" ht="15.75" customHeight="1" thickBot="1">
      <c r="A15" s="790"/>
      <c r="B15" s="790"/>
      <c r="C15" s="790"/>
      <c r="D15" s="790"/>
      <c r="E15" s="15" t="s">
        <v>4</v>
      </c>
      <c r="F15" s="15" t="s">
        <v>5</v>
      </c>
      <c r="G15" s="15" t="s">
        <v>6</v>
      </c>
      <c r="H15" s="15" t="s">
        <v>7</v>
      </c>
      <c r="I15" s="766"/>
      <c r="J15" s="15" t="s">
        <v>874</v>
      </c>
      <c r="K15" s="319" t="s">
        <v>873</v>
      </c>
      <c r="L15" s="15" t="s">
        <v>875</v>
      </c>
      <c r="M15" s="319" t="s">
        <v>876</v>
      </c>
      <c r="N15" s="15" t="s">
        <v>877</v>
      </c>
      <c r="O15" s="319" t="s">
        <v>878</v>
      </c>
      <c r="P15" s="15" t="s">
        <v>879</v>
      </c>
      <c r="Q15" s="319" t="s">
        <v>880</v>
      </c>
      <c r="R15" s="766"/>
      <c r="S15" s="766"/>
      <c r="T15" s="807"/>
      <c r="U15" s="802"/>
      <c r="V15" s="801"/>
      <c r="W15" s="329" t="s">
        <v>1268</v>
      </c>
      <c r="X15" s="319" t="s">
        <v>1269</v>
      </c>
      <c r="Y15" s="329" t="s">
        <v>1280</v>
      </c>
      <c r="Z15" s="319" t="s">
        <v>1281</v>
      </c>
      <c r="AA15" s="329" t="s">
        <v>1270</v>
      </c>
      <c r="AB15" s="319" t="s">
        <v>1271</v>
      </c>
      <c r="AC15" s="329" t="s">
        <v>1272</v>
      </c>
      <c r="AD15" s="319" t="s">
        <v>1273</v>
      </c>
      <c r="AE15" s="767"/>
      <c r="AF15" s="329" t="s">
        <v>1274</v>
      </c>
      <c r="AG15" s="319" t="s">
        <v>1282</v>
      </c>
      <c r="AH15" s="329" t="s">
        <v>1283</v>
      </c>
      <c r="AI15" s="319" t="s">
        <v>1275</v>
      </c>
      <c r="AJ15" s="329" t="s">
        <v>1284</v>
      </c>
      <c r="AK15" s="319" t="s">
        <v>1285</v>
      </c>
      <c r="AL15" s="329" t="s">
        <v>1286</v>
      </c>
      <c r="AM15" s="319" t="s">
        <v>1287</v>
      </c>
      <c r="AN15" s="766"/>
      <c r="AO15" s="766"/>
      <c r="AP15" s="790"/>
      <c r="AQ15" s="790"/>
    </row>
    <row r="16" spans="1:43" ht="15.75" customHeight="1">
      <c r="A16" s="16">
        <v>1</v>
      </c>
      <c r="B16" s="793" t="s">
        <v>26</v>
      </c>
      <c r="C16" s="793"/>
      <c r="D16" s="794"/>
      <c r="E16" s="28"/>
      <c r="F16" s="28"/>
      <c r="G16" s="28"/>
      <c r="H16" s="28"/>
      <c r="I16" s="28">
        <f>SUMIF('YR1 actual expenses'!A:A,'Budget Summary'!B:B,'YR1 actual expenses'!B:B)</f>
        <v>108613.81999999999</v>
      </c>
      <c r="J16" s="28">
        <f>SUMIF('YR2 Pivot by quarters'!A:A,'Budget Summary'!B:B,'YR2 Pivot by quarters'!B:B)</f>
        <v>201745.34750000003</v>
      </c>
      <c r="K16" s="320">
        <f>SUMIF('Budget YR2-4 DC+Hm'!B:B,'Budget Summary'!B:B,'Budget YR2-4 DC+Hm'!M:M)</f>
        <v>95129.17</v>
      </c>
      <c r="L16" s="28">
        <f>SUMIF('YR2 Pivot by quarters'!A:A,'Budget Summary'!B:B,'YR2 Pivot by quarters'!C:C)</f>
        <v>177173.34750000003</v>
      </c>
      <c r="M16" s="320">
        <f>SUMIF('Budget YR2-4 DC+Hm'!B:B,'Budget Summary'!B:B,'Budget YR2-4 DC+Hm'!O:O)</f>
        <v>117252.09000000003</v>
      </c>
      <c r="N16" s="28">
        <f>SUMIF('YR2 Pivot by quarters'!A:A,'Budget Summary'!B:B,'YR2 Pivot by quarters'!D:D)</f>
        <v>177173.34750000003</v>
      </c>
      <c r="O16" s="320">
        <f>SUMIF('Budget YR2-4 DC+Hm'!B:B,'Budget Summary'!B:B,'Budget YR2-4 DC+Hm'!Q:Q)</f>
        <v>173207.38000000006</v>
      </c>
      <c r="P16" s="28">
        <f>SUMIF('YR2 Pivot by quarters'!A:A,'Budget Summary'!B:B,'YR2 Pivot by quarters'!E:E)</f>
        <v>178148.34750000003</v>
      </c>
      <c r="Q16" s="28">
        <f>SUMIF('Budget YR2-4 DC+Hm'!B:B,'Budget Summary'!B:B,'Budget YR2-4 DC+Hm'!S:S)</f>
        <v>148417.7736</v>
      </c>
      <c r="R16" s="28">
        <f>J16+L16+N16+P16</f>
        <v>734240.3900000001</v>
      </c>
      <c r="S16" s="28">
        <f aca="true" t="shared" si="0" ref="S16:S28">+I16+R16</f>
        <v>842854.2100000001</v>
      </c>
      <c r="T16" s="167">
        <f>S16/S$48</f>
        <v>0.2999215945279224</v>
      </c>
      <c r="U16" s="323">
        <f>I16+K16+M16+O16+Q16</f>
        <v>642620.2336</v>
      </c>
      <c r="V16" s="379">
        <f>U16/S16</f>
        <v>0.7624334386370331</v>
      </c>
      <c r="W16" s="381">
        <f>SUMIF('YR3 Budget "Master"'!A:A,'Budget Summary'!B:B,'YR3 Budget "Master"'!F:F)+SUMIF('YR3 Budget "Master"'!A:A,'Budget Summary'!B:B,'YR3 Budget "Master"'!G:G)+SUMIF('YR3 Budget "Master"'!A:A,'Budget Summary'!B:B,'YR3 Budget "Master"'!H:H)</f>
        <v>218117.26</v>
      </c>
      <c r="X16" s="312"/>
      <c r="Y16" s="381">
        <f>SUMIF('YR3 Budget "Master"'!A:A,'Budget Summary'!B:B,'YR3 Budget "Master"'!I:I)+SUMIF('YR3 Budget "Master"'!A:A,'Budget Summary'!B:B,'YR3 Budget "Master"'!J:J)+SUMIF('YR3 Budget "Master"'!A:A,'Budget Summary'!B:B,'YR3 Budget "Master"'!K:K)</f>
        <v>211566.01</v>
      </c>
      <c r="Z16" s="312"/>
      <c r="AA16" s="381">
        <f>SUMIF('YR3 Budget "Master"'!A:A,'Budget Summary'!B:B,'YR3 Budget "Master"'!L:L)+SUMIF('YR3 Budget "Master"'!A:A,'Budget Summary'!B:B,'YR3 Budget "Master"'!M:M)+SUMIF('YR3 Budget "Master"'!A:A,'Budget Summary'!B:B,'YR3 Budget "Master"'!N:N)</f>
        <v>235103.51</v>
      </c>
      <c r="AB16" s="312"/>
      <c r="AC16" s="381">
        <f>SUMIF('YR3 Budget "Master"'!A:A,'Budget Summary'!B:B,'YR3 Budget "Master"'!O:O)+SUMIF('YR3 Budget "Master"'!A:A,'Budget Summary'!B:B,'YR3 Budget "Master"'!P:P)+SUMIF('YR3 Budget "Master"'!A:A,'Budget Summary'!B:B,'YR3 Budget "Master"'!Q:Q)</f>
        <v>253191.01</v>
      </c>
      <c r="AD16" s="381"/>
      <c r="AE16" s="312">
        <f>W16+Y16+AA16+AC16</f>
        <v>917977.79</v>
      </c>
      <c r="AF16" s="381">
        <f>SUMIF('YR4 Budget revision 310315'!A:A,'Budget Summary'!B:B,'YR4 Budget revision 310315'!F:F)+SUMIF('YR4 Budget revision 310315'!A:A,'Budget Summary'!B:B,'YR4 Budget revision 310315'!G:G)+SUMIF('YR4 Budget revision 310315'!A:A,'Budget Summary'!B:B,'YR4 Budget revision 310315'!H:H)</f>
        <v>216612.373</v>
      </c>
      <c r="AG16" s="312"/>
      <c r="AH16" s="381">
        <f>SUMIF('YR4 Budget revision 310315'!A:A,'Budget Summary'!B:B,'YR4 Budget revision 310315'!I:I)+SUMIF('YR4 Budget revision 310315'!A:A,'Budget Summary'!B:B,'YR4 Budget revision 310315'!J:J)+SUMIF('YR4 Budget revision 310315'!A:A,'Budget Summary'!B:B,'YR4 Budget revision 310315'!K:K)</f>
        <v>201089.623</v>
      </c>
      <c r="AI16" s="312"/>
      <c r="AJ16" s="381">
        <f>SUMIF('YR4 Budget revision 310315'!A:A,'Budget Summary'!B:B,'YR4 Budget revision 310315'!L:L)+SUMIF('YR4 Budget revision 310315'!A:A,'Budget Summary'!B:B,'YR4 Budget revision 310315'!M:M)+SUMIF('YR4 Budget revision 310315'!A:A,'Budget Summary'!B:B,'YR4 Budget revision 310315'!N:N)</f>
        <v>222901.498</v>
      </c>
      <c r="AK16" s="312"/>
      <c r="AL16" s="381">
        <f>SUMIF('YR4 Budget revision 310315'!A:A,'Budget Summary'!B:B,'YR4 Budget revision 310315'!O:O)+SUMIF('YR4 Budget revision 310315'!A:A,'Budget Summary'!B:B,'YR4 Budget revision 310315'!P:P)+SUMIF('YR4 Budget revision 310315'!A:A,'Budget Summary'!B:B,'YR4 Budget revision 310315'!Q:Q)</f>
        <v>238558.248</v>
      </c>
      <c r="AM16" s="381"/>
      <c r="AN16" s="28">
        <f>SUMIF('YR4 Budget revision 310315'!A:A,'Budget Summary'!B:B,'YR4 Budget revision 310315'!E:E)</f>
        <v>879161.7420000001</v>
      </c>
      <c r="AO16" s="28">
        <f>SUMIF('YR5 PIVOT'!A:A,'Budget Summary'!B:B,'YR5 PIVOT'!B:B)+100000</f>
        <v>266348</v>
      </c>
      <c r="AP16" s="28">
        <f>SUM(U16,AE16,AN16,AO16)</f>
        <v>2706107.7656</v>
      </c>
      <c r="AQ16" s="190">
        <f>AP16/AP$29</f>
        <v>0.3714468916582938</v>
      </c>
    </row>
    <row r="17" spans="1:43" ht="15.75" customHeight="1">
      <c r="A17" s="17">
        <v>2</v>
      </c>
      <c r="B17" s="786" t="s">
        <v>27</v>
      </c>
      <c r="C17" s="786"/>
      <c r="D17" s="787"/>
      <c r="E17" s="28"/>
      <c r="F17" s="28"/>
      <c r="G17" s="28"/>
      <c r="H17" s="28"/>
      <c r="I17" s="28">
        <f>SUMIF('YR1 actual expenses'!A:A,'Budget Summary'!B:B,'YR1 actual expenses'!B:B)</f>
        <v>34372.229999999996</v>
      </c>
      <c r="J17" s="28">
        <f>SUMIF('YR2 Pivot by quarters'!A:A,'Budget Summary'!B:B,'YR2 Pivot by quarters'!B:B)</f>
        <v>22253</v>
      </c>
      <c r="K17" s="320">
        <f>SUMIF('Budget YR2-4 DC+Hm'!B:B,'Budget Summary'!B:B,'Budget YR2-4 DC+Hm'!M:M)</f>
        <v>27349.46</v>
      </c>
      <c r="L17" s="28">
        <f>SUMIF('YR2 Pivot by quarters'!A:A,'Budget Summary'!B:B,'YR2 Pivot by quarters'!C:C)</f>
        <v>13893</v>
      </c>
      <c r="M17" s="320">
        <f>SUMIF('Budget YR2-4 DC+Hm'!B:B,'Budget Summary'!B:B,'Budget YR2-4 DC+Hm'!O:O)</f>
        <v>31680.820000000003</v>
      </c>
      <c r="N17" s="28">
        <f>SUMIF('YR2 Pivot by quarters'!A:A,'Budget Summary'!B:B,'YR2 Pivot by quarters'!D:D)</f>
        <v>16533</v>
      </c>
      <c r="O17" s="320">
        <f>SUMIF('Budget YR2-4 DC+Hm'!B:B,'Budget Summary'!B:B,'Budget YR2-4 DC+Hm'!Q:Q)</f>
        <v>2783.98</v>
      </c>
      <c r="P17" s="28">
        <f>SUMIF('YR2 Pivot by quarters'!A:A,'Budget Summary'!B:B,'YR2 Pivot by quarters'!E:E)</f>
        <v>13893</v>
      </c>
      <c r="Q17" s="320">
        <f>SUMIF('Budget YR2-4 DC+Hm'!B:B,'Budget Summary'!B:B,'Budget YR2-4 DC+Hm'!S:S)</f>
        <v>6627.209999999999</v>
      </c>
      <c r="R17" s="28">
        <f aca="true" t="shared" si="1" ref="R17:R28">J17+L17+N17+P17</f>
        <v>66572</v>
      </c>
      <c r="S17" s="28">
        <f t="shared" si="0"/>
        <v>100944.23</v>
      </c>
      <c r="T17" s="167">
        <f aca="true" t="shared" si="2" ref="T17:T27">S17/S$48</f>
        <v>0.03592003701327343</v>
      </c>
      <c r="U17" s="324">
        <f aca="true" t="shared" si="3" ref="U17:U28">I17+K17+M17+O17+Q17</f>
        <v>102813.69999999998</v>
      </c>
      <c r="V17" s="380">
        <f aca="true" t="shared" si="4" ref="V17:V29">U17/S17</f>
        <v>1.018519830207234</v>
      </c>
      <c r="W17" s="381">
        <f>SUMIF('YR3 Budget "Master"'!A:A,'Budget Summary'!B:B,'YR3 Budget "Master"'!F:F)+SUMIF('YR3 Budget "Master"'!A:A,'Budget Summary'!B:B,'YR3 Budget "Master"'!G:G)+SUMIF('YR3 Budget "Master"'!A:A,'Budget Summary'!B:B,'YR3 Budget "Master"'!H:H)</f>
        <v>23550</v>
      </c>
      <c r="X17" s="312"/>
      <c r="Y17" s="381">
        <f>SUMIF('YR3 Budget "Master"'!A:A,'Budget Summary'!B:B,'YR3 Budget "Master"'!I:I)+SUMIF('YR3 Budget "Master"'!A:A,'Budget Summary'!B:B,'YR3 Budget "Master"'!J:J)+SUMIF('YR3 Budget "Master"'!A:A,'Budget Summary'!B:B,'YR3 Budget "Master"'!K:K)</f>
        <v>19800</v>
      </c>
      <c r="Z17" s="312"/>
      <c r="AA17" s="381">
        <f>SUMIF('YR3 Budget "Master"'!A:A,'Budget Summary'!B:B,'YR3 Budget "Master"'!L:L)+SUMIF('YR3 Budget "Master"'!A:A,'Budget Summary'!B:B,'YR3 Budget "Master"'!M:M)+SUMIF('YR3 Budget "Master"'!A:A,'Budget Summary'!B:B,'YR3 Budget "Master"'!N:N)</f>
        <v>16050</v>
      </c>
      <c r="AB17" s="312"/>
      <c r="AC17" s="381">
        <f>SUMIF('YR3 Budget "Master"'!A:A,'Budget Summary'!B:B,'YR3 Budget "Master"'!O:O)+SUMIF('YR3 Budget "Master"'!A:A,'Budget Summary'!B:B,'YR3 Budget "Master"'!P:P)+SUMIF('YR3 Budget "Master"'!A:A,'Budget Summary'!B:B,'YR3 Budget "Master"'!Q:Q)</f>
        <v>16050</v>
      </c>
      <c r="AD17" s="381"/>
      <c r="AE17" s="312">
        <f aca="true" t="shared" si="5" ref="AE17:AE28">W17+Y17+AA17+AC17</f>
        <v>75450</v>
      </c>
      <c r="AF17" s="381">
        <f>SUMIF('YR4 Budget revision 310315'!A:A,'Budget Summary'!B:B,'YR4 Budget revision 310315'!F:F)+SUMIF('YR4 Budget revision 310315'!A:A,'Budget Summary'!B:B,'YR4 Budget revision 310315'!G:G)+SUMIF('YR4 Budget revision 310315'!A:A,'Budget Summary'!B:B,'YR4 Budget revision 310315'!H:H)</f>
        <v>30900</v>
      </c>
      <c r="AG17" s="312"/>
      <c r="AH17" s="381">
        <f>SUMIF('YR4 Budget revision 310315'!A:A,'Budget Summary'!B:B,'YR4 Budget revision 310315'!I:I)+SUMIF('YR4 Budget revision 310315'!A:A,'Budget Summary'!B:B,'YR4 Budget revision 310315'!J:J)+SUMIF('YR4 Budget revision 310315'!A:A,'Budget Summary'!B:B,'YR4 Budget revision 310315'!K:K)</f>
        <v>33575</v>
      </c>
      <c r="AI17" s="312"/>
      <c r="AJ17" s="381">
        <f>SUMIF('YR4 Budget revision 310315'!A:A,'Budget Summary'!B:B,'YR4 Budget revision 310315'!L:L)+SUMIF('YR4 Budget revision 310315'!A:A,'Budget Summary'!B:B,'YR4 Budget revision 310315'!M:M)+SUMIF('YR4 Budget revision 310315'!A:A,'Budget Summary'!B:B,'YR4 Budget revision 310315'!N:N)</f>
        <v>30900</v>
      </c>
      <c r="AK17" s="312"/>
      <c r="AL17" s="381">
        <f>SUMIF('YR4 Budget revision 310315'!A:A,'Budget Summary'!B:B,'YR4 Budget revision 310315'!O:O)+SUMIF('YR4 Budget revision 310315'!A:A,'Budget Summary'!B:B,'YR4 Budget revision 310315'!P:P)+SUMIF('YR4 Budget revision 310315'!A:A,'Budget Summary'!B:B,'YR4 Budget revision 310315'!Q:Q)</f>
        <v>38550</v>
      </c>
      <c r="AM17" s="381"/>
      <c r="AN17" s="28">
        <f>SUMIF('YR4 Budget revision 310315'!A:A,'Budget Summary'!B:B,'YR4 Budget revision 310315'!E:E)</f>
        <v>133925</v>
      </c>
      <c r="AO17" s="28">
        <f>SUMIF('YR5 PIVOT'!A:A,'Budget Summary'!B:B,'YR5 PIVOT'!B:B)</f>
        <v>33040</v>
      </c>
      <c r="AP17" s="28">
        <f aca="true" t="shared" si="6" ref="AP17:AP28">SUM(U17,AE17,AN17,AO17)</f>
        <v>345228.69999999995</v>
      </c>
      <c r="AQ17" s="190">
        <f>AP17/AP$29</f>
        <v>0.047386925663620585</v>
      </c>
    </row>
    <row r="18" spans="1:43" ht="15.75" customHeight="1">
      <c r="A18" s="18">
        <v>3</v>
      </c>
      <c r="B18" s="788" t="s">
        <v>28</v>
      </c>
      <c r="C18" s="788"/>
      <c r="D18" s="789"/>
      <c r="E18" s="28"/>
      <c r="F18" s="28"/>
      <c r="G18" s="28"/>
      <c r="H18" s="28"/>
      <c r="I18" s="28">
        <f>SUMIF('YR1 actual expenses'!A:A,'Budget Summary'!B:B,'YR1 actual expenses'!B:B)</f>
        <v>90366.39</v>
      </c>
      <c r="J18" s="28">
        <f>SUMIF('YR2 Pivot by quarters'!A:A,'Budget Summary'!B:B,'YR2 Pivot by quarters'!B:B)</f>
        <v>87481.41</v>
      </c>
      <c r="K18" s="320">
        <f>SUMIF('Budget YR2-4 DC+Hm'!B:B,'Budget Summary'!B:B,'Budget YR2-4 DC+Hm'!M:M)</f>
        <v>36012.74</v>
      </c>
      <c r="L18" s="28">
        <f>SUMIF('YR2 Pivot by quarters'!A:A,'Budget Summary'!B:B,'YR2 Pivot by quarters'!C:C)</f>
        <v>113469.41</v>
      </c>
      <c r="M18" s="320">
        <f>SUMIF('Budget YR2-4 DC+Hm'!B:B,'Budget Summary'!B:B,'Budget YR2-4 DC+Hm'!O:O)</f>
        <v>21686.310000000005</v>
      </c>
      <c r="N18" s="28">
        <f>SUMIF('YR2 Pivot by quarters'!A:A,'Budget Summary'!B:B,'YR2 Pivot by quarters'!D:D)</f>
        <v>37469.41</v>
      </c>
      <c r="O18" s="320">
        <f>SUMIF('Budget YR2-4 DC+Hm'!B:B,'Budget Summary'!B:B,'Budget YR2-4 DC+Hm'!Q:Q)</f>
        <v>41744.38</v>
      </c>
      <c r="P18" s="28">
        <f>SUMIF('YR2 Pivot by quarters'!A:A,'Budget Summary'!B:B,'YR2 Pivot by quarters'!E:E)</f>
        <v>24469.41</v>
      </c>
      <c r="Q18" s="320">
        <f>SUMIF('Budget YR2-4 DC+Hm'!B:B,'Budget Summary'!B:B,'Budget YR2-4 DC+Hm'!S:S)</f>
        <v>44892.170000000006</v>
      </c>
      <c r="R18" s="28">
        <f t="shared" si="1"/>
        <v>262889.64</v>
      </c>
      <c r="S18" s="28">
        <f t="shared" si="0"/>
        <v>353256.03</v>
      </c>
      <c r="T18" s="167">
        <f t="shared" si="2"/>
        <v>0.12570277343006164</v>
      </c>
      <c r="U18" s="324">
        <f t="shared" si="3"/>
        <v>234701.99000000002</v>
      </c>
      <c r="V18" s="380">
        <f t="shared" si="4"/>
        <v>0.664396273716828</v>
      </c>
      <c r="W18" s="381">
        <f>SUMIF('YR3 Budget "Master"'!A:A,'Budget Summary'!B:B,'YR3 Budget "Master"'!F:F)+SUMIF('YR3 Budget "Master"'!A:A,'Budget Summary'!B:B,'YR3 Budget "Master"'!G:G)+SUMIF('YR3 Budget "Master"'!A:A,'Budget Summary'!B:B,'YR3 Budget "Master"'!H:H)</f>
        <v>69350</v>
      </c>
      <c r="X18" s="312"/>
      <c r="Y18" s="381">
        <f>SUMIF('YR3 Budget "Master"'!A:A,'Budget Summary'!B:B,'YR3 Budget "Master"'!I:I)+SUMIF('YR3 Budget "Master"'!A:A,'Budget Summary'!B:B,'YR3 Budget "Master"'!J:J)+SUMIF('YR3 Budget "Master"'!A:A,'Budget Summary'!B:B,'YR3 Budget "Master"'!K:K)</f>
        <v>193400</v>
      </c>
      <c r="Z18" s="312"/>
      <c r="AA18" s="381">
        <f>SUMIF('YR3 Budget "Master"'!A:A,'Budget Summary'!B:B,'YR3 Budget "Master"'!L:L)+SUMIF('YR3 Budget "Master"'!A:A,'Budget Summary'!B:B,'YR3 Budget "Master"'!M:M)+SUMIF('YR3 Budget "Master"'!A:A,'Budget Summary'!B:B,'YR3 Budget "Master"'!N:N)</f>
        <v>115600</v>
      </c>
      <c r="AB18" s="312"/>
      <c r="AC18" s="381">
        <f>SUMIF('YR3 Budget "Master"'!A:A,'Budget Summary'!B:B,'YR3 Budget "Master"'!O:O)+SUMIF('YR3 Budget "Master"'!A:A,'Budget Summary'!B:B,'YR3 Budget "Master"'!P:P)+SUMIF('YR3 Budget "Master"'!A:A,'Budget Summary'!B:B,'YR3 Budget "Master"'!Q:Q)</f>
        <v>43250</v>
      </c>
      <c r="AD18" s="381"/>
      <c r="AE18" s="312">
        <f t="shared" si="5"/>
        <v>421600</v>
      </c>
      <c r="AF18" s="381">
        <f>SUMIF('YR4 Budget revision 310315'!A:A,'Budget Summary'!B:B,'YR4 Budget revision 310315'!F:F)+SUMIF('YR4 Budget revision 310315'!A:A,'Budget Summary'!B:B,'YR4 Budget revision 310315'!G:G)+SUMIF('YR4 Budget revision 310315'!A:A,'Budget Summary'!B:B,'YR4 Budget revision 310315'!H:H)</f>
        <v>68850</v>
      </c>
      <c r="AG18" s="312"/>
      <c r="AH18" s="381">
        <f>SUMIF('YR4 Budget revision 310315'!A:A,'Budget Summary'!B:B,'YR4 Budget revision 310315'!I:I)+SUMIF('YR4 Budget revision 310315'!A:A,'Budget Summary'!B:B,'YR4 Budget revision 310315'!J:J)+SUMIF('YR4 Budget revision 310315'!A:A,'Budget Summary'!B:B,'YR4 Budget revision 310315'!K:K)</f>
        <v>159200</v>
      </c>
      <c r="AI18" s="312"/>
      <c r="AJ18" s="381">
        <f>SUMIF('YR4 Budget revision 310315'!A:A,'Budget Summary'!B:B,'YR4 Budget revision 310315'!L:L)+SUMIF('YR4 Budget revision 310315'!A:A,'Budget Summary'!B:B,'YR4 Budget revision 310315'!M:M)+SUMIF('YR4 Budget revision 310315'!A:A,'Budget Summary'!B:B,'YR4 Budget revision 310315'!N:N)</f>
        <v>95050</v>
      </c>
      <c r="AK18" s="312"/>
      <c r="AL18" s="381">
        <f>SUMIF('YR4 Budget revision 310315'!A:A,'Budget Summary'!B:B,'YR4 Budget revision 310315'!O:O)+SUMIF('YR4 Budget revision 310315'!A:A,'Budget Summary'!B:B,'YR4 Budget revision 310315'!P:P)+SUMIF('YR4 Budget revision 310315'!A:A,'Budget Summary'!B:B,'YR4 Budget revision 310315'!Q:Q)</f>
        <v>30450</v>
      </c>
      <c r="AM18" s="381"/>
      <c r="AN18" s="28">
        <f>SUMIF('YR4 Budget revision 310315'!A:A,'Budget Summary'!B:B,'YR4 Budget revision 310315'!E:E)</f>
        <v>353550</v>
      </c>
      <c r="AO18" s="28">
        <f>SUMIF('YR5 PIVOT'!A:A,'Budget Summary'!B:B,'YR5 PIVOT'!B:B)+50000</f>
        <v>132200</v>
      </c>
      <c r="AP18" s="28">
        <f t="shared" si="6"/>
        <v>1142051.99</v>
      </c>
      <c r="AQ18" s="190">
        <f>AP18/AP$29</f>
        <v>0.1567608161028326</v>
      </c>
    </row>
    <row r="19" spans="1:43" ht="15.75" customHeight="1">
      <c r="A19" s="18">
        <v>4</v>
      </c>
      <c r="B19" s="788" t="s">
        <v>29</v>
      </c>
      <c r="C19" s="788"/>
      <c r="D19" s="789"/>
      <c r="E19" s="28"/>
      <c r="F19" s="28"/>
      <c r="G19" s="28"/>
      <c r="H19" s="28"/>
      <c r="I19" s="28">
        <f>SUMIF('YR1 actual expenses'!A:A,'Budget Summary'!B:B,'YR1 actual expenses'!B:B)</f>
        <v>66214.14</v>
      </c>
      <c r="J19" s="28">
        <f>SUMIF('YR2 Pivot by quarters'!A:A,'Budget Summary'!B:B,'YR2 Pivot by quarters'!B:B)</f>
        <v>0</v>
      </c>
      <c r="K19" s="320">
        <f>SUMIF('Budget YR2-4 DC+Hm'!B:B,'Budget Summary'!B:B,'Budget YR2-4 DC+Hm'!M:M)</f>
        <v>3457.5699999999997</v>
      </c>
      <c r="L19" s="28">
        <f>SUMIF('YR2 Pivot by quarters'!A:A,'Budget Summary'!B:B,'YR2 Pivot by quarters'!C:C)</f>
        <v>0</v>
      </c>
      <c r="M19" s="320">
        <f>SUMIF('Budget YR2-4 DC+Hm'!B:B,'Budget Summary'!B:B,'Budget YR2-4 DC+Hm'!O:O)</f>
        <v>14.35</v>
      </c>
      <c r="N19" s="28">
        <f>SUMIF('YR2 Pivot by quarters'!A:A,'Budget Summary'!B:B,'YR2 Pivot by quarters'!D:D)</f>
        <v>0</v>
      </c>
      <c r="O19" s="320">
        <f>SUMIF('Budget YR2-4 DC+Hm'!B:B,'Budget Summary'!B:B,'Budget YR2-4 DC+Hm'!Q:Q)</f>
        <v>0</v>
      </c>
      <c r="P19" s="28">
        <f>SUMIF('YR2 Pivot by quarters'!A:A,'Budget Summary'!B:B,'YR2 Pivot by quarters'!E:E)</f>
        <v>0</v>
      </c>
      <c r="Q19" s="320">
        <f>SUMIF('Budget YR2-4 DC+Hm'!B:B,'Budget Summary'!B:B,'Budget YR2-4 DC+Hm'!S:S)</f>
        <v>0</v>
      </c>
      <c r="R19" s="28">
        <f t="shared" si="1"/>
        <v>0</v>
      </c>
      <c r="S19" s="28">
        <f t="shared" si="0"/>
        <v>66214.14</v>
      </c>
      <c r="T19" s="167">
        <f t="shared" si="2"/>
        <v>0.02356166726520247</v>
      </c>
      <c r="U19" s="324">
        <f t="shared" si="3"/>
        <v>69686.06</v>
      </c>
      <c r="V19" s="380">
        <f t="shared" si="4"/>
        <v>1.0524347216470682</v>
      </c>
      <c r="W19" s="381">
        <f>SUMIF('YR3 Budget "Master"'!A:A,'Budget Summary'!B:B,'YR3 Budget "Master"'!F:F)+SUMIF('YR3 Budget "Master"'!A:A,'Budget Summary'!B:B,'YR3 Budget "Master"'!G:G)+SUMIF('YR3 Budget "Master"'!A:A,'Budget Summary'!B:B,'YR3 Budget "Master"'!H:H)</f>
        <v>0</v>
      </c>
      <c r="X19" s="312"/>
      <c r="Y19" s="381">
        <f>SUMIF('YR3 Budget "Master"'!A:A,'Budget Summary'!B:B,'YR3 Budget "Master"'!I:I)+SUMIF('YR3 Budget "Master"'!A:A,'Budget Summary'!B:B,'YR3 Budget "Master"'!J:J)+SUMIF('YR3 Budget "Master"'!A:A,'Budget Summary'!B:B,'YR3 Budget "Master"'!K:K)</f>
        <v>0</v>
      </c>
      <c r="Z19" s="312"/>
      <c r="AA19" s="381">
        <f>SUMIF('YR3 Budget "Master"'!A:A,'Budget Summary'!B:B,'YR3 Budget "Master"'!L:L)+SUMIF('YR3 Budget "Master"'!A:A,'Budget Summary'!B:B,'YR3 Budget "Master"'!M:M)+SUMIF('YR3 Budget "Master"'!A:A,'Budget Summary'!B:B,'YR3 Budget "Master"'!N:N)</f>
        <v>0</v>
      </c>
      <c r="AB19" s="312"/>
      <c r="AC19" s="381">
        <f>SUMIF('YR3 Budget "Master"'!A:A,'Budget Summary'!B:B,'YR3 Budget "Master"'!O:O)+SUMIF('YR3 Budget "Master"'!A:A,'Budget Summary'!B:B,'YR3 Budget "Master"'!P:P)+SUMIF('YR3 Budget "Master"'!A:A,'Budget Summary'!B:B,'YR3 Budget "Master"'!Q:Q)</f>
        <v>0</v>
      </c>
      <c r="AD19" s="381"/>
      <c r="AE19" s="312">
        <f t="shared" si="5"/>
        <v>0</v>
      </c>
      <c r="AF19" s="381">
        <f>SUMIF('YR4 Budget revision 310315'!A:A,'Budget Summary'!B:B,'YR4 Budget revision 310315'!F:F)+SUMIF('YR4 Budget revision 310315'!A:A,'Budget Summary'!B:B,'YR4 Budget revision 310315'!G:G)+SUMIF('YR4 Budget revision 310315'!A:A,'Budget Summary'!B:B,'YR4 Budget revision 310315'!H:H)</f>
        <v>0</v>
      </c>
      <c r="AG19" s="312"/>
      <c r="AH19" s="381">
        <f>SUMIF('YR4 Budget revision 310315'!A:A,'Budget Summary'!B:B,'YR4 Budget revision 310315'!I:I)+SUMIF('YR4 Budget revision 310315'!A:A,'Budget Summary'!B:B,'YR4 Budget revision 310315'!J:J)+SUMIF('YR4 Budget revision 310315'!A:A,'Budget Summary'!B:B,'YR4 Budget revision 310315'!K:K)</f>
        <v>0</v>
      </c>
      <c r="AI19" s="312"/>
      <c r="AJ19" s="381">
        <f>SUMIF('YR4 Budget revision 310315'!A:A,'Budget Summary'!B:B,'YR4 Budget revision 310315'!L:L)+SUMIF('YR4 Budget revision 310315'!A:A,'Budget Summary'!B:B,'YR4 Budget revision 310315'!M:M)+SUMIF('YR4 Budget revision 310315'!A:A,'Budget Summary'!B:B,'YR4 Budget revision 310315'!N:N)</f>
        <v>0</v>
      </c>
      <c r="AK19" s="312"/>
      <c r="AL19" s="381">
        <f>SUMIF('YR4 Budget revision 310315'!A:A,'Budget Summary'!B:B,'YR4 Budget revision 310315'!O:O)+SUMIF('YR4 Budget revision 310315'!A:A,'Budget Summary'!B:B,'YR4 Budget revision 310315'!P:P)+SUMIF('YR4 Budget revision 310315'!A:A,'Budget Summary'!B:B,'YR4 Budget revision 310315'!Q:Q)</f>
        <v>0</v>
      </c>
      <c r="AM19" s="381"/>
      <c r="AN19" s="28">
        <f>SUMIF('YR4 Budget revision 310315'!A:A,'Budget Summary'!B:B,'YR4 Budget revision 310315'!E:E)</f>
        <v>0</v>
      </c>
      <c r="AO19" s="28">
        <f>SUMIF('YR5 PIVOT'!A:A,'Budget Summary'!B:B,'YR5 PIVOT'!B:B)</f>
        <v>0</v>
      </c>
      <c r="AP19" s="28">
        <f t="shared" si="6"/>
        <v>69686.06</v>
      </c>
      <c r="AQ19" s="190">
        <f aca="true" t="shared" si="7" ref="AQ19:AQ28">AP19/AP$29</f>
        <v>0.009565277003362132</v>
      </c>
    </row>
    <row r="20" spans="1:43" ht="15.75" customHeight="1">
      <c r="A20" s="18">
        <v>5</v>
      </c>
      <c r="B20" s="788" t="s">
        <v>30</v>
      </c>
      <c r="C20" s="788"/>
      <c r="D20" s="789"/>
      <c r="E20" s="28"/>
      <c r="F20" s="28"/>
      <c r="G20" s="28"/>
      <c r="H20" s="28"/>
      <c r="I20" s="28">
        <f>SUMIF('YR1 actual expenses'!A:A,'Budget Summary'!B:B,'YR1 actual expenses'!B:B)</f>
        <v>0</v>
      </c>
      <c r="J20" s="28">
        <f>SUMIF('YR2 Pivot by quarters'!A:A,'Budget Summary'!B:B,'YR2 Pivot by quarters'!B:B)</f>
        <v>63333</v>
      </c>
      <c r="K20" s="320">
        <f>SUMIF('Budget YR2-4 DC+Hm'!B:B,'Budget Summary'!B:B,'Budget YR2-4 DC+Hm'!M:M)</f>
        <v>0</v>
      </c>
      <c r="L20" s="28">
        <f>SUMIF('YR2 Pivot by quarters'!A:A,'Budget Summary'!B:B,'YR2 Pivot by quarters'!C:C)</f>
        <v>0</v>
      </c>
      <c r="M20" s="320">
        <f>SUMIF('Budget YR2-4 DC+Hm'!B:B,'Budget Summary'!B:B,'Budget YR2-4 DC+Hm'!O:O)</f>
        <v>0</v>
      </c>
      <c r="N20" s="28">
        <f>SUMIF('YR2 Pivot by quarters'!A:A,'Budget Summary'!B:B,'YR2 Pivot by quarters'!D:D)</f>
        <v>0</v>
      </c>
      <c r="O20" s="320">
        <f>SUMIF('Budget YR2-4 DC+Hm'!B:B,'Budget Summary'!B:B,'Budget YR2-4 DC+Hm'!Q:Q)</f>
        <v>0</v>
      </c>
      <c r="P20" s="28">
        <f>SUMIF('YR2 Pivot by quarters'!A:A,'Budget Summary'!B:B,'YR2 Pivot by quarters'!E:E)</f>
        <v>0</v>
      </c>
      <c r="Q20" s="320">
        <f>SUMIF('Budget YR2-4 DC+Hm'!B:B,'Budget Summary'!B:B,'Budget YR2-4 DC+Hm'!S:S)</f>
        <v>0</v>
      </c>
      <c r="R20" s="28">
        <f t="shared" si="1"/>
        <v>63333</v>
      </c>
      <c r="S20" s="28">
        <f t="shared" si="0"/>
        <v>63333</v>
      </c>
      <c r="T20" s="167">
        <f t="shared" si="2"/>
        <v>0.022536441202846823</v>
      </c>
      <c r="U20" s="324">
        <f t="shared" si="3"/>
        <v>0</v>
      </c>
      <c r="V20" s="380">
        <f t="shared" si="4"/>
        <v>0</v>
      </c>
      <c r="W20" s="381">
        <f>SUMIF('YR3 Budget "Master"'!A:A,'Budget Summary'!B:B,'YR3 Budget "Master"'!F:F)+SUMIF('YR3 Budget "Master"'!A:A,'Budget Summary'!B:B,'YR3 Budget "Master"'!G:G)+SUMIF('YR3 Budget "Master"'!A:A,'Budget Summary'!B:B,'YR3 Budget "Master"'!H:H)</f>
        <v>0</v>
      </c>
      <c r="X20" s="312"/>
      <c r="Y20" s="381">
        <f>SUMIF('YR3 Budget "Master"'!A:A,'Budget Summary'!B:B,'YR3 Budget "Master"'!I:I)+SUMIF('YR3 Budget "Master"'!A:A,'Budget Summary'!B:B,'YR3 Budget "Master"'!J:J)+SUMIF('YR3 Budget "Master"'!A:A,'Budget Summary'!B:B,'YR3 Budget "Master"'!K:K)</f>
        <v>33000</v>
      </c>
      <c r="Z20" s="312"/>
      <c r="AA20" s="381">
        <f>SUMIF('YR3 Budget "Master"'!A:A,'Budget Summary'!B:B,'YR3 Budget "Master"'!L:L)+SUMIF('YR3 Budget "Master"'!A:A,'Budget Summary'!B:B,'YR3 Budget "Master"'!M:M)+SUMIF('YR3 Budget "Master"'!A:A,'Budget Summary'!B:B,'YR3 Budget "Master"'!N:N)</f>
        <v>0</v>
      </c>
      <c r="AB20" s="312"/>
      <c r="AC20" s="381">
        <f>SUMIF('YR3 Budget "Master"'!A:A,'Budget Summary'!B:B,'YR3 Budget "Master"'!O:O)+SUMIF('YR3 Budget "Master"'!A:A,'Budget Summary'!B:B,'YR3 Budget "Master"'!P:P)+SUMIF('YR3 Budget "Master"'!A:A,'Budget Summary'!B:B,'YR3 Budget "Master"'!Q:Q)</f>
        <v>0</v>
      </c>
      <c r="AD20" s="381"/>
      <c r="AE20" s="312">
        <f t="shared" si="5"/>
        <v>33000</v>
      </c>
      <c r="AF20" s="381">
        <f>SUMIF('YR4 Budget revision 310315'!A:A,'Budget Summary'!B:B,'YR4 Budget revision 310315'!F:F)+SUMIF('YR4 Budget revision 310315'!A:A,'Budget Summary'!B:B,'YR4 Budget revision 310315'!G:G)+SUMIF('YR4 Budget revision 310315'!A:A,'Budget Summary'!B:B,'YR4 Budget revision 310315'!H:H)</f>
        <v>0</v>
      </c>
      <c r="AG20" s="312"/>
      <c r="AH20" s="381">
        <f>SUMIF('YR4 Budget revision 310315'!A:A,'Budget Summary'!B:B,'YR4 Budget revision 310315'!I:I)+SUMIF('YR4 Budget revision 310315'!A:A,'Budget Summary'!B:B,'YR4 Budget revision 310315'!J:J)+SUMIF('YR4 Budget revision 310315'!A:A,'Budget Summary'!B:B,'YR4 Budget revision 310315'!K:K)</f>
        <v>33000</v>
      </c>
      <c r="AI20" s="312"/>
      <c r="AJ20" s="381">
        <f>SUMIF('YR4 Budget revision 310315'!A:A,'Budget Summary'!B:B,'YR4 Budget revision 310315'!L:L)+SUMIF('YR4 Budget revision 310315'!A:A,'Budget Summary'!B:B,'YR4 Budget revision 310315'!M:M)+SUMIF('YR4 Budget revision 310315'!A:A,'Budget Summary'!B:B,'YR4 Budget revision 310315'!N:N)</f>
        <v>0</v>
      </c>
      <c r="AK20" s="312"/>
      <c r="AL20" s="381">
        <f>SUMIF('YR4 Budget revision 310315'!A:A,'Budget Summary'!B:B,'YR4 Budget revision 310315'!O:O)+SUMIF('YR4 Budget revision 310315'!A:A,'Budget Summary'!B:B,'YR4 Budget revision 310315'!P:P)+SUMIF('YR4 Budget revision 310315'!A:A,'Budget Summary'!B:B,'YR4 Budget revision 310315'!Q:Q)</f>
        <v>0</v>
      </c>
      <c r="AM20" s="381"/>
      <c r="AN20" s="28">
        <f>SUMIF('YR4 Budget revision 310315'!A:A,'Budget Summary'!B:B,'YR4 Budget revision 310315'!E:E)</f>
        <v>33000</v>
      </c>
      <c r="AO20" s="28">
        <f>SUMIF('YR5 PIVOT'!A:A,'Budget Summary'!B:B,'YR5 PIVOT'!B:B)+33000</f>
        <v>33000</v>
      </c>
      <c r="AP20" s="28">
        <f t="shared" si="6"/>
        <v>99000</v>
      </c>
      <c r="AQ20" s="190">
        <f t="shared" si="7"/>
        <v>0.013588979249692852</v>
      </c>
    </row>
    <row r="21" spans="1:43" ht="15.75" customHeight="1">
      <c r="A21" s="18">
        <v>6</v>
      </c>
      <c r="B21" s="795" t="s">
        <v>33</v>
      </c>
      <c r="C21" s="796"/>
      <c r="D21" s="797"/>
      <c r="E21" s="28"/>
      <c r="F21" s="28"/>
      <c r="G21" s="28"/>
      <c r="H21" s="28"/>
      <c r="I21" s="28">
        <f>SUMIF('YR1 actual expenses'!A:A,'Budget Summary'!B:B,'YR1 actual expenses'!B:B)</f>
        <v>55471.520000000004</v>
      </c>
      <c r="J21" s="28">
        <f>SUMIF('YR2 Pivot by quarters'!A:A,'Budget Summary'!B:B,'YR2 Pivot by quarters'!B:B)</f>
        <v>17009.48</v>
      </c>
      <c r="K21" s="320">
        <f>SUMIF('Budget YR2-4 DC+Hm'!B:B,'Budget Summary'!B:B,'Budget YR2-4 DC+Hm'!M:M)</f>
        <v>1125.25</v>
      </c>
      <c r="L21" s="28">
        <f>SUMIF('YR2 Pivot by quarters'!A:A,'Budget Summary'!B:B,'YR2 Pivot by quarters'!C:C)</f>
        <v>18200</v>
      </c>
      <c r="M21" s="320">
        <f>SUMIF('Budget YR2-4 DC+Hm'!B:B,'Budget Summary'!B:B,'Budget YR2-4 DC+Hm'!O:O)</f>
        <v>1660.02</v>
      </c>
      <c r="N21" s="28">
        <f>SUMIF('YR2 Pivot by quarters'!A:A,'Budget Summary'!B:B,'YR2 Pivot by quarters'!D:D)</f>
        <v>62200</v>
      </c>
      <c r="O21" s="320">
        <f>SUMIF('Budget YR2-4 DC+Hm'!B:B,'Budget Summary'!B:B,'Budget YR2-4 DC+Hm'!Q:Q)</f>
        <v>8775.24</v>
      </c>
      <c r="P21" s="28">
        <f>SUMIF('YR2 Pivot by quarters'!A:A,'Budget Summary'!B:B,'YR2 Pivot by quarters'!E:E)</f>
        <v>7200</v>
      </c>
      <c r="Q21" s="320">
        <f>SUMIF('Budget YR2-4 DC+Hm'!B:B,'Budget Summary'!B:B,'Budget YR2-4 DC+Hm'!S:S)</f>
        <v>175.24</v>
      </c>
      <c r="R21" s="28">
        <f t="shared" si="1"/>
        <v>104609.48</v>
      </c>
      <c r="S21" s="28">
        <f t="shared" si="0"/>
        <v>160081</v>
      </c>
      <c r="T21" s="167">
        <f t="shared" si="2"/>
        <v>0.05696328997825655</v>
      </c>
      <c r="U21" s="324">
        <f t="shared" si="3"/>
        <v>67207.27</v>
      </c>
      <c r="V21" s="380">
        <f t="shared" si="4"/>
        <v>0.41983289709584526</v>
      </c>
      <c r="W21" s="381">
        <f>SUMIF('YR3 Budget "Master"'!A:A,'Budget Summary'!B:B,'YR3 Budget "Master"'!F:F)+SUMIF('YR3 Budget "Master"'!A:A,'Budget Summary'!B:B,'YR3 Budget "Master"'!G:G)+SUMIF('YR3 Budget "Master"'!A:A,'Budget Summary'!B:B,'YR3 Budget "Master"'!H:H)</f>
        <v>0</v>
      </c>
      <c r="X21" s="312"/>
      <c r="Y21" s="381">
        <f>SUMIF('YR3 Budget "Master"'!A:A,'Budget Summary'!B:B,'YR3 Budget "Master"'!I:I)+SUMIF('YR3 Budget "Master"'!A:A,'Budget Summary'!B:B,'YR3 Budget "Master"'!J:J)+SUMIF('YR3 Budget "Master"'!A:A,'Budget Summary'!B:B,'YR3 Budget "Master"'!K:K)</f>
        <v>0</v>
      </c>
      <c r="Z21" s="312"/>
      <c r="AA21" s="381">
        <f>SUMIF('YR3 Budget "Master"'!A:A,'Budget Summary'!B:B,'YR3 Budget "Master"'!L:L)+SUMIF('YR3 Budget "Master"'!A:A,'Budget Summary'!B:B,'YR3 Budget "Master"'!M:M)+SUMIF('YR3 Budget "Master"'!A:A,'Budget Summary'!B:B,'YR3 Budget "Master"'!N:N)</f>
        <v>0</v>
      </c>
      <c r="AB21" s="312"/>
      <c r="AC21" s="381">
        <f>SUMIF('YR3 Budget "Master"'!A:A,'Budget Summary'!B:B,'YR3 Budget "Master"'!O:O)+SUMIF('YR3 Budget "Master"'!A:A,'Budget Summary'!B:B,'YR3 Budget "Master"'!P:P)+SUMIF('YR3 Budget "Master"'!A:A,'Budget Summary'!B:B,'YR3 Budget "Master"'!Q:Q)</f>
        <v>0</v>
      </c>
      <c r="AD21" s="381"/>
      <c r="AE21" s="312">
        <f t="shared" si="5"/>
        <v>0</v>
      </c>
      <c r="AF21" s="381">
        <f>SUMIF('YR4 Budget revision 310315'!A:A,'Budget Summary'!B:B,'YR4 Budget revision 310315'!F:F)+SUMIF('YR4 Budget revision 310315'!A:A,'Budget Summary'!B:B,'YR4 Budget revision 310315'!G:G)+SUMIF('YR4 Budget revision 310315'!A:A,'Budget Summary'!B:B,'YR4 Budget revision 310315'!H:H)</f>
        <v>0</v>
      </c>
      <c r="AG21" s="312"/>
      <c r="AH21" s="381">
        <f>SUMIF('YR4 Budget revision 310315'!A:A,'Budget Summary'!B:B,'YR4 Budget revision 310315'!I:I)+SUMIF('YR4 Budget revision 310315'!A:A,'Budget Summary'!B:B,'YR4 Budget revision 310315'!J:J)+SUMIF('YR4 Budget revision 310315'!A:A,'Budget Summary'!B:B,'YR4 Budget revision 310315'!K:K)</f>
        <v>0</v>
      </c>
      <c r="AI21" s="312"/>
      <c r="AJ21" s="381">
        <f>SUMIF('YR4 Budget revision 310315'!A:A,'Budget Summary'!B:B,'YR4 Budget revision 310315'!L:L)+SUMIF('YR4 Budget revision 310315'!A:A,'Budget Summary'!B:B,'YR4 Budget revision 310315'!M:M)+SUMIF('YR4 Budget revision 310315'!A:A,'Budget Summary'!B:B,'YR4 Budget revision 310315'!N:N)</f>
        <v>0</v>
      </c>
      <c r="AK21" s="312"/>
      <c r="AL21" s="381">
        <f>SUMIF('YR4 Budget revision 310315'!A:A,'Budget Summary'!B:B,'YR4 Budget revision 310315'!O:O)+SUMIF('YR4 Budget revision 310315'!A:A,'Budget Summary'!B:B,'YR4 Budget revision 310315'!P:P)+SUMIF('YR4 Budget revision 310315'!A:A,'Budget Summary'!B:B,'YR4 Budget revision 310315'!Q:Q)</f>
        <v>0</v>
      </c>
      <c r="AM21" s="381"/>
      <c r="AN21" s="28">
        <f>SUMIF('YR4 Budget revision 310315'!A:A,'Budget Summary'!B:B,'YR4 Budget revision 310315'!E:E)</f>
        <v>0</v>
      </c>
      <c r="AO21" s="28">
        <f>SUMIF('YR5 PIVOT'!A:A,'Budget Summary'!B:B,'YR5 PIVOT'!B:B)</f>
        <v>68000</v>
      </c>
      <c r="AP21" s="28">
        <f t="shared" si="6"/>
        <v>135207.27000000002</v>
      </c>
      <c r="AQ21" s="190">
        <f t="shared" si="7"/>
        <v>0.01855887663068302</v>
      </c>
    </row>
    <row r="22" spans="1:43" ht="15.75" customHeight="1">
      <c r="A22" s="18">
        <v>7</v>
      </c>
      <c r="B22" s="788" t="s">
        <v>31</v>
      </c>
      <c r="C22" s="788"/>
      <c r="D22" s="789"/>
      <c r="E22" s="28"/>
      <c r="F22" s="28"/>
      <c r="G22" s="28"/>
      <c r="H22" s="28"/>
      <c r="I22" s="28">
        <f>SUMIF('YR1 actual expenses'!A:A,'Budget Summary'!B:B,'YR1 actual expenses'!B:B)</f>
        <v>14354.210000000001</v>
      </c>
      <c r="J22" s="28">
        <f>SUMIF('YR2 Pivot by quarters'!A:A,'Budget Summary'!B:B,'YR2 Pivot by quarters'!B:B)</f>
        <v>375800</v>
      </c>
      <c r="K22" s="320">
        <f>SUMIF('Budget YR2-4 DC+Hm'!B:B,'Budget Summary'!B:B,'Budget YR2-4 DC+Hm'!M:M)</f>
        <v>460.87</v>
      </c>
      <c r="L22" s="28">
        <f>SUMIF('YR2 Pivot by quarters'!A:A,'Budget Summary'!B:B,'YR2 Pivot by quarters'!C:C)</f>
        <v>15650</v>
      </c>
      <c r="M22" s="320">
        <f>SUMIF('Budget YR2-4 DC+Hm'!B:B,'Budget Summary'!B:B,'Budget YR2-4 DC+Hm'!O:O)</f>
        <v>223162.19000000003</v>
      </c>
      <c r="N22" s="28">
        <f>SUMIF('YR2 Pivot by quarters'!A:A,'Budget Summary'!B:B,'YR2 Pivot by quarters'!D:D)</f>
        <v>1650</v>
      </c>
      <c r="O22" s="320">
        <f>SUMIF('Budget YR2-4 DC+Hm'!B:B,'Budget Summary'!B:B,'Budget YR2-4 DC+Hm'!Q:Q)</f>
        <v>72062.99</v>
      </c>
      <c r="P22" s="28">
        <f>SUMIF('YR2 Pivot by quarters'!A:A,'Budget Summary'!B:B,'YR2 Pivot by quarters'!E:E)</f>
        <v>1650</v>
      </c>
      <c r="Q22" s="320">
        <f>SUMIF('Budget YR2-4 DC+Hm'!B:B,'Budget Summary'!B:B,'Budget YR2-4 DC+Hm'!S:S)</f>
        <v>47934.255000000005</v>
      </c>
      <c r="R22" s="28">
        <f t="shared" si="1"/>
        <v>394750</v>
      </c>
      <c r="S22" s="28">
        <f t="shared" si="0"/>
        <v>409104.21</v>
      </c>
      <c r="T22" s="167">
        <f t="shared" si="2"/>
        <v>0.14557581315431292</v>
      </c>
      <c r="U22" s="324">
        <f t="shared" si="3"/>
        <v>357974.515</v>
      </c>
      <c r="V22" s="380">
        <f t="shared" si="4"/>
        <v>0.8750203646156562</v>
      </c>
      <c r="W22" s="381">
        <f>SUMIF('YR3 Budget "Master"'!A:A,'Budget Summary'!B:B,'YR3 Budget "Master"'!F:F)+SUMIF('YR3 Budget "Master"'!A:A,'Budget Summary'!B:B,'YR3 Budget "Master"'!G:G)+SUMIF('YR3 Budget "Master"'!A:A,'Budget Summary'!B:B,'YR3 Budget "Master"'!H:H)</f>
        <v>47275</v>
      </c>
      <c r="X22" s="312"/>
      <c r="Y22" s="381">
        <f>SUMIF('YR3 Budget "Master"'!A:A,'Budget Summary'!B:B,'YR3 Budget "Master"'!I:I)+SUMIF('YR3 Budget "Master"'!A:A,'Budget Summary'!B:B,'YR3 Budget "Master"'!J:J)+SUMIF('YR3 Budget "Master"'!A:A,'Budget Summary'!B:B,'YR3 Budget "Master"'!K:K)</f>
        <v>68375</v>
      </c>
      <c r="Z22" s="312"/>
      <c r="AA22" s="381">
        <f>SUMIF('YR3 Budget "Master"'!A:A,'Budget Summary'!B:B,'YR3 Budget "Master"'!L:L)+SUMIF('YR3 Budget "Master"'!A:A,'Budget Summary'!B:B,'YR3 Budget "Master"'!M:M)+SUMIF('YR3 Budget "Master"'!A:A,'Budget Summary'!B:B,'YR3 Budget "Master"'!N:N)</f>
        <v>17625</v>
      </c>
      <c r="AB22" s="312"/>
      <c r="AC22" s="381">
        <f>SUMIF('YR3 Budget "Master"'!A:A,'Budget Summary'!B:B,'YR3 Budget "Master"'!O:O)+SUMIF('YR3 Budget "Master"'!A:A,'Budget Summary'!B:B,'YR3 Budget "Master"'!P:P)+SUMIF('YR3 Budget "Master"'!A:A,'Budget Summary'!B:B,'YR3 Budget "Master"'!Q:Q)</f>
        <v>22025</v>
      </c>
      <c r="AD22" s="381"/>
      <c r="AE22" s="312">
        <f t="shared" si="5"/>
        <v>155300</v>
      </c>
      <c r="AF22" s="381">
        <f>SUMIF('YR4 Budget revision 310315'!A:A,'Budget Summary'!B:B,'YR4 Budget revision 310315'!F:F)+SUMIF('YR4 Budget revision 310315'!A:A,'Budget Summary'!B:B,'YR4 Budget revision 310315'!G:G)+SUMIF('YR4 Budget revision 310315'!A:A,'Budget Summary'!B:B,'YR4 Budget revision 310315'!H:H)</f>
        <v>25600</v>
      </c>
      <c r="AG22" s="312"/>
      <c r="AH22" s="381">
        <f>SUMIF('YR4 Budget revision 310315'!A:A,'Budget Summary'!B:B,'YR4 Budget revision 310315'!I:I)+SUMIF('YR4 Budget revision 310315'!A:A,'Budget Summary'!B:B,'YR4 Budget revision 310315'!J:J)+SUMIF('YR4 Budget revision 310315'!A:A,'Budget Summary'!B:B,'YR4 Budget revision 310315'!K:K)</f>
        <v>54275</v>
      </c>
      <c r="AI22" s="312"/>
      <c r="AJ22" s="381">
        <f>SUMIF('YR4 Budget revision 310315'!A:A,'Budget Summary'!B:B,'YR4 Budget revision 310315'!L:L)+SUMIF('YR4 Budget revision 310315'!A:A,'Budget Summary'!B:B,'YR4 Budget revision 310315'!M:M)+SUMIF('YR4 Budget revision 310315'!A:A,'Budget Summary'!B:B,'YR4 Budget revision 310315'!N:N)</f>
        <v>15825</v>
      </c>
      <c r="AK22" s="312"/>
      <c r="AL22" s="381">
        <f>SUMIF('YR4 Budget revision 310315'!A:A,'Budget Summary'!B:B,'YR4 Budget revision 310315'!O:O)+SUMIF('YR4 Budget revision 310315'!A:A,'Budget Summary'!B:B,'YR4 Budget revision 310315'!P:P)+SUMIF('YR4 Budget revision 310315'!A:A,'Budget Summary'!B:B,'YR4 Budget revision 310315'!Q:Q)</f>
        <v>20375</v>
      </c>
      <c r="AM22" s="381"/>
      <c r="AN22" s="28">
        <f>SUMIF('YR4 Budget revision 310315'!A:A,'Budget Summary'!B:B,'YR4 Budget revision 310315'!E:E)</f>
        <v>116075</v>
      </c>
      <c r="AO22" s="28">
        <f>SUMIF('YR5 PIVOT'!A:A,'Budget Summary'!B:B,'YR5 PIVOT'!B:B)+25000</f>
        <v>27000</v>
      </c>
      <c r="AP22" s="28">
        <f t="shared" si="6"/>
        <v>656349.515</v>
      </c>
      <c r="AQ22" s="190">
        <f t="shared" si="7"/>
        <v>0.09009212060485826</v>
      </c>
    </row>
    <row r="23" spans="1:43" ht="15.75" customHeight="1">
      <c r="A23" s="18">
        <v>8</v>
      </c>
      <c r="B23" s="788" t="s">
        <v>32</v>
      </c>
      <c r="C23" s="788"/>
      <c r="D23" s="789"/>
      <c r="E23" s="28"/>
      <c r="F23" s="28"/>
      <c r="G23" s="28"/>
      <c r="H23" s="28"/>
      <c r="I23" s="28">
        <f>SUMIF('YR1 actual expenses'!A:A,'Budget Summary'!B:B,'YR1 actual expenses'!B:B)</f>
        <v>5259.76</v>
      </c>
      <c r="J23" s="28">
        <f>SUMIF('YR2 Pivot by quarters'!A:A,'Budget Summary'!B:B,'YR2 Pivot by quarters'!B:B)</f>
        <v>12499.999999999998</v>
      </c>
      <c r="K23" s="320">
        <f>SUMIF('Budget YR2-4 DC+Hm'!B:B,'Budget Summary'!B:B,'Budget YR2-4 DC+Hm'!M:M)</f>
        <v>1000.15</v>
      </c>
      <c r="L23" s="28">
        <f>SUMIF('YR2 Pivot by quarters'!A:A,'Budget Summary'!B:B,'YR2 Pivot by quarters'!C:C)</f>
        <v>36999.99999999999</v>
      </c>
      <c r="M23" s="320">
        <f>SUMIF('Budget YR2-4 DC+Hm'!B:B,'Budget Summary'!B:B,'Budget YR2-4 DC+Hm'!O:O)</f>
        <v>122.65</v>
      </c>
      <c r="N23" s="28">
        <f>SUMIF('YR2 Pivot by quarters'!A:A,'Budget Summary'!B:B,'YR2 Pivot by quarters'!D:D)</f>
        <v>8349.999999999998</v>
      </c>
      <c r="O23" s="320">
        <f>SUMIF('Budget YR2-4 DC+Hm'!B:B,'Budget Summary'!B:B,'Budget YR2-4 DC+Hm'!Q:Q)</f>
        <v>7511.73</v>
      </c>
      <c r="P23" s="28">
        <f>SUMIF('YR2 Pivot by quarters'!A:A,'Budget Summary'!B:B,'YR2 Pivot by quarters'!E:E)</f>
        <v>5000</v>
      </c>
      <c r="Q23" s="320">
        <f>SUMIF('Budget YR2-4 DC+Hm'!B:B,'Budget Summary'!B:B,'Budget YR2-4 DC+Hm'!S:S)</f>
        <v>8839.76</v>
      </c>
      <c r="R23" s="28">
        <f t="shared" si="1"/>
        <v>62849.99999999999</v>
      </c>
      <c r="S23" s="28">
        <f t="shared" si="0"/>
        <v>68109.76</v>
      </c>
      <c r="T23" s="167">
        <f t="shared" si="2"/>
        <v>0.024236205478660545</v>
      </c>
      <c r="U23" s="324">
        <f t="shared" si="3"/>
        <v>22734.05</v>
      </c>
      <c r="V23" s="380">
        <f t="shared" si="4"/>
        <v>0.33378549564702625</v>
      </c>
      <c r="W23" s="381">
        <f>SUMIF('YR3 Budget "Master"'!A:A,'Budget Summary'!B:B,'YR3 Budget "Master"'!F:F)+SUMIF('YR3 Budget "Master"'!A:A,'Budget Summary'!B:B,'YR3 Budget "Master"'!G:G)+SUMIF('YR3 Budget "Master"'!A:A,'Budget Summary'!B:B,'YR3 Budget "Master"'!H:H)</f>
        <v>21300</v>
      </c>
      <c r="X23" s="312"/>
      <c r="Y23" s="381">
        <f>SUMIF('YR3 Budget "Master"'!A:A,'Budget Summary'!B:B,'YR3 Budget "Master"'!I:I)+SUMIF('YR3 Budget "Master"'!A:A,'Budget Summary'!B:B,'YR3 Budget "Master"'!J:J)+SUMIF('YR3 Budget "Master"'!A:A,'Budget Summary'!B:B,'YR3 Budget "Master"'!K:K)</f>
        <v>7500</v>
      </c>
      <c r="Z23" s="312"/>
      <c r="AA23" s="381">
        <f>SUMIF('YR3 Budget "Master"'!A:A,'Budget Summary'!B:B,'YR3 Budget "Master"'!L:L)+SUMIF('YR3 Budget "Master"'!A:A,'Budget Summary'!B:B,'YR3 Budget "Master"'!M:M)+SUMIF('YR3 Budget "Master"'!A:A,'Budget Summary'!B:B,'YR3 Budget "Master"'!N:N)</f>
        <v>0</v>
      </c>
      <c r="AB23" s="312"/>
      <c r="AC23" s="381">
        <f>SUMIF('YR3 Budget "Master"'!A:A,'Budget Summary'!B:B,'YR3 Budget "Master"'!O:O)+SUMIF('YR3 Budget "Master"'!A:A,'Budget Summary'!B:B,'YR3 Budget "Master"'!P:P)+SUMIF('YR3 Budget "Master"'!A:A,'Budget Summary'!B:B,'YR3 Budget "Master"'!Q:Q)</f>
        <v>1500</v>
      </c>
      <c r="AD23" s="381"/>
      <c r="AE23" s="312">
        <f t="shared" si="5"/>
        <v>30300</v>
      </c>
      <c r="AF23" s="381">
        <f>SUMIF('YR4 Budget revision 310315'!A:A,'Budget Summary'!B:B,'YR4 Budget revision 310315'!F:F)+SUMIF('YR4 Budget revision 310315'!A:A,'Budget Summary'!B:B,'YR4 Budget revision 310315'!G:G)+SUMIF('YR4 Budget revision 310315'!A:A,'Budget Summary'!B:B,'YR4 Budget revision 310315'!H:H)</f>
        <v>17550</v>
      </c>
      <c r="AG23" s="312"/>
      <c r="AH23" s="381">
        <f>SUMIF('YR4 Budget revision 310315'!A:A,'Budget Summary'!B:B,'YR4 Budget revision 310315'!I:I)+SUMIF('YR4 Budget revision 310315'!A:A,'Budget Summary'!B:B,'YR4 Budget revision 310315'!J:J)+SUMIF('YR4 Budget revision 310315'!A:A,'Budget Summary'!B:B,'YR4 Budget revision 310315'!K:K)</f>
        <v>6000</v>
      </c>
      <c r="AI23" s="312"/>
      <c r="AJ23" s="381">
        <f>SUMIF('YR4 Budget revision 310315'!A:A,'Budget Summary'!B:B,'YR4 Budget revision 310315'!L:L)+SUMIF('YR4 Budget revision 310315'!A:A,'Budget Summary'!B:B,'YR4 Budget revision 310315'!M:M)+SUMIF('YR4 Budget revision 310315'!A:A,'Budget Summary'!B:B,'YR4 Budget revision 310315'!N:N)</f>
        <v>1500</v>
      </c>
      <c r="AK23" s="312"/>
      <c r="AL23" s="381">
        <f>SUMIF('YR4 Budget revision 310315'!A:A,'Budget Summary'!B:B,'YR4 Budget revision 310315'!O:O)+SUMIF('YR4 Budget revision 310315'!A:A,'Budget Summary'!B:B,'YR4 Budget revision 310315'!P:P)+SUMIF('YR4 Budget revision 310315'!A:A,'Budget Summary'!B:B,'YR4 Budget revision 310315'!Q:Q)</f>
        <v>1500</v>
      </c>
      <c r="AM23" s="381"/>
      <c r="AN23" s="28">
        <f>SUMIF('YR4 Budget revision 310315'!A:A,'Budget Summary'!B:B,'YR4 Budget revision 310315'!E:E)</f>
        <v>26550</v>
      </c>
      <c r="AO23" s="28">
        <f>SUMIF('YR5 PIVOT'!A:A,'Budget Summary'!B:B,'YR5 PIVOT'!B:B)</f>
        <v>12400</v>
      </c>
      <c r="AP23" s="28">
        <f t="shared" si="6"/>
        <v>91984.05</v>
      </c>
      <c r="AQ23" s="190">
        <f t="shared" si="7"/>
        <v>0.01262595299750212</v>
      </c>
    </row>
    <row r="24" spans="1:43" ht="15.75" customHeight="1">
      <c r="A24" s="18">
        <v>9</v>
      </c>
      <c r="B24" s="795" t="s">
        <v>8</v>
      </c>
      <c r="C24" s="796"/>
      <c r="D24" s="797"/>
      <c r="E24" s="28"/>
      <c r="F24" s="28"/>
      <c r="G24" s="28"/>
      <c r="H24" s="28"/>
      <c r="I24" s="28">
        <f>SUMIF('YR1 actual expenses'!A:A,'Budget Summary'!B:B,'YR1 actual expenses'!B:B)</f>
        <v>30183.34</v>
      </c>
      <c r="J24" s="28">
        <f>SUMIF('YR2 Pivot by quarters'!A:A,'Budget Summary'!B:B,'YR2 Pivot by quarters'!B:B)</f>
        <v>13831.71</v>
      </c>
      <c r="K24" s="320">
        <f>SUMIF('Budget YR2-4 DC+Hm'!B:B,'Budget Summary'!B:B,'Budget YR2-4 DC+Hm'!M:M)</f>
        <v>1147.69</v>
      </c>
      <c r="L24" s="28">
        <f>SUMIF('YR2 Pivot by quarters'!A:A,'Budget Summary'!B:B,'YR2 Pivot by quarters'!C:C)</f>
        <v>10612.533333333333</v>
      </c>
      <c r="M24" s="320">
        <f>SUMIF('Budget YR2-4 DC+Hm'!B:B,'Budget Summary'!B:B,'Budget YR2-4 DC+Hm'!O:O)</f>
        <v>3443.25</v>
      </c>
      <c r="N24" s="28">
        <f>SUMIF('YR2 Pivot by quarters'!A:A,'Budget Summary'!B:B,'YR2 Pivot by quarters'!D:D)</f>
        <v>10612.533333333333</v>
      </c>
      <c r="O24" s="320">
        <f>SUMIF('Budget YR2-4 DC+Hm'!B:B,'Budget Summary'!B:B,'Budget YR2-4 DC+Hm'!Q:Q)</f>
        <v>11892.92</v>
      </c>
      <c r="P24" s="28">
        <f>SUMIF('YR2 Pivot by quarters'!A:A,'Budget Summary'!B:B,'YR2 Pivot by quarters'!E:E)</f>
        <v>10612.533333333333</v>
      </c>
      <c r="Q24" s="320">
        <f>SUMIF('Budget YR2-4 DC+Hm'!B:B,'Budget Summary'!B:B,'Budget YR2-4 DC+Hm'!S:S)</f>
        <v>6983.98</v>
      </c>
      <c r="R24" s="28">
        <f t="shared" si="1"/>
        <v>45669.31</v>
      </c>
      <c r="S24" s="28">
        <f t="shared" si="0"/>
        <v>75852.65</v>
      </c>
      <c r="T24" s="167">
        <f t="shared" si="2"/>
        <v>0.026991438693968688</v>
      </c>
      <c r="U24" s="324">
        <f t="shared" si="3"/>
        <v>53651.17999999999</v>
      </c>
      <c r="V24" s="380">
        <f t="shared" si="4"/>
        <v>0.7073079187081796</v>
      </c>
      <c r="W24" s="381">
        <f>SUMIF('YR3 Budget "Master"'!A:A,'Budget Summary'!B:B,'YR3 Budget "Master"'!F:F)+SUMIF('YR3 Budget "Master"'!A:A,'Budget Summary'!B:B,'YR3 Budget "Master"'!G:G)+SUMIF('YR3 Budget "Master"'!A:A,'Budget Summary'!B:B,'YR3 Budget "Master"'!H:H)</f>
        <v>20975</v>
      </c>
      <c r="X24" s="312"/>
      <c r="Y24" s="381">
        <f>SUMIF('YR3 Budget "Master"'!A:A,'Budget Summary'!B:B,'YR3 Budget "Master"'!I:I)+SUMIF('YR3 Budget "Master"'!A:A,'Budget Summary'!B:B,'YR3 Budget "Master"'!J:J)+SUMIF('YR3 Budget "Master"'!A:A,'Budget Summary'!B:B,'YR3 Budget "Master"'!K:K)</f>
        <v>74975</v>
      </c>
      <c r="Z24" s="312"/>
      <c r="AA24" s="381">
        <f>SUMIF('YR3 Budget "Master"'!A:A,'Budget Summary'!B:B,'YR3 Budget "Master"'!L:L)+SUMIF('YR3 Budget "Master"'!A:A,'Budget Summary'!B:B,'YR3 Budget "Master"'!M:M)+SUMIF('YR3 Budget "Master"'!A:A,'Budget Summary'!B:B,'YR3 Budget "Master"'!N:N)</f>
        <v>22325</v>
      </c>
      <c r="AB24" s="312"/>
      <c r="AC24" s="381">
        <f>SUMIF('YR3 Budget "Master"'!A:A,'Budget Summary'!B:B,'YR3 Budget "Master"'!O:O)+SUMIF('YR3 Budget "Master"'!A:A,'Budget Summary'!B:B,'YR3 Budget "Master"'!P:P)+SUMIF('YR3 Budget "Master"'!A:A,'Budget Summary'!B:B,'YR3 Budget "Master"'!Q:Q)</f>
        <v>40025</v>
      </c>
      <c r="AD24" s="381"/>
      <c r="AE24" s="312">
        <f t="shared" si="5"/>
        <v>158300</v>
      </c>
      <c r="AF24" s="381">
        <f>SUMIF('YR4 Budget revision 310315'!A:A,'Budget Summary'!B:B,'YR4 Budget revision 310315'!F:F)+SUMIF('YR4 Budget revision 310315'!A:A,'Budget Summary'!B:B,'YR4 Budget revision 310315'!G:G)+SUMIF('YR4 Budget revision 310315'!A:A,'Budget Summary'!B:B,'YR4 Budget revision 310315'!H:H)</f>
        <v>27400</v>
      </c>
      <c r="AG24" s="312"/>
      <c r="AH24" s="381">
        <f>SUMIF('YR4 Budget revision 310315'!A:A,'Budget Summary'!B:B,'YR4 Budget revision 310315'!I:I)+SUMIF('YR4 Budget revision 310315'!A:A,'Budget Summary'!B:B,'YR4 Budget revision 310315'!J:J)+SUMIF('YR4 Budget revision 310315'!A:A,'Budget Summary'!B:B,'YR4 Budget revision 310315'!K:K)</f>
        <v>51225</v>
      </c>
      <c r="AI24" s="312"/>
      <c r="AJ24" s="381">
        <f>SUMIF('YR4 Budget revision 310315'!A:A,'Budget Summary'!B:B,'YR4 Budget revision 310315'!L:L)+SUMIF('YR4 Budget revision 310315'!A:A,'Budget Summary'!B:B,'YR4 Budget revision 310315'!M:M)+SUMIF('YR4 Budget revision 310315'!A:A,'Budget Summary'!B:B,'YR4 Budget revision 310315'!N:N)</f>
        <v>30250</v>
      </c>
      <c r="AK24" s="312"/>
      <c r="AL24" s="381">
        <f>SUMIF('YR4 Budget revision 310315'!A:A,'Budget Summary'!B:B,'YR4 Budget revision 310315'!O:O)+SUMIF('YR4 Budget revision 310315'!A:A,'Budget Summary'!B:B,'YR4 Budget revision 310315'!P:P)+SUMIF('YR4 Budget revision 310315'!A:A,'Budget Summary'!B:B,'YR4 Budget revision 310315'!Q:Q)</f>
        <v>23500</v>
      </c>
      <c r="AM24" s="381"/>
      <c r="AN24" s="28">
        <f>SUMIF('YR4 Budget revision 310315'!A:A,'Budget Summary'!B:B,'YR4 Budget revision 310315'!E:E)</f>
        <v>132375</v>
      </c>
      <c r="AO24" s="28">
        <f>SUMIF('YR5 PIVOT'!A:A,'Budget Summary'!B:B,'YR5 PIVOT'!B:B)+25000</f>
        <v>74061.6</v>
      </c>
      <c r="AP24" s="28">
        <f t="shared" si="6"/>
        <v>418387.78</v>
      </c>
      <c r="AQ24" s="190">
        <f t="shared" si="7"/>
        <v>0.057428917785303624</v>
      </c>
    </row>
    <row r="25" spans="1:43" ht="15.75" customHeight="1">
      <c r="A25" s="18">
        <v>10</v>
      </c>
      <c r="B25" s="795" t="s">
        <v>57</v>
      </c>
      <c r="C25" s="796"/>
      <c r="D25" s="797"/>
      <c r="E25" s="28"/>
      <c r="F25" s="28"/>
      <c r="G25" s="28"/>
      <c r="H25" s="28"/>
      <c r="I25" s="28">
        <f>SUMIF('YR1 actual expenses'!A:A,'Budget Summary'!B:B,'YR1 actual expenses'!B:B)</f>
        <v>0</v>
      </c>
      <c r="J25" s="28">
        <f>SUMIF('YR2 Pivot by quarters'!A:A,'Budget Summary'!B:B,'YR2 Pivot by quarters'!B:B)</f>
        <v>0</v>
      </c>
      <c r="K25" s="320">
        <f>SUMIF('Budget YR2-4 DC+Hm'!B:B,'Budget Summary'!B:B,'Budget YR2-4 DC+Hm'!M:M)</f>
        <v>0</v>
      </c>
      <c r="L25" s="28">
        <f>SUMIF('YR2 Pivot by quarters'!A:A,'Budget Summary'!B:B,'YR2 Pivot by quarters'!C:C)</f>
        <v>73250</v>
      </c>
      <c r="M25" s="320">
        <f>SUMIF('Budget YR2-4 DC+Hm'!B:B,'Budget Summary'!B:B,'Budget YR2-4 DC+Hm'!O:O)</f>
        <v>0</v>
      </c>
      <c r="N25" s="28">
        <f>SUMIF('YR2 Pivot by quarters'!A:A,'Budget Summary'!B:B,'YR2 Pivot by quarters'!D:D)</f>
        <v>10000</v>
      </c>
      <c r="O25" s="320">
        <f>SUMIF('Budget YR2-4 DC+Hm'!B:B,'Budget Summary'!B:B,'Budget YR2-4 DC+Hm'!Q:Q)</f>
        <v>0</v>
      </c>
      <c r="P25" s="28">
        <f>SUMIF('YR2 Pivot by quarters'!A:A,'Budget Summary'!B:B,'YR2 Pivot by quarters'!E:E)</f>
        <v>0</v>
      </c>
      <c r="Q25" s="320">
        <f>SUMIF('Budget YR2-4 DC+Hm'!B:B,'Budget Summary'!B:B,'Budget YR2-4 DC+Hm'!S:S)</f>
        <v>45.79</v>
      </c>
      <c r="R25" s="28">
        <f t="shared" si="1"/>
        <v>83250</v>
      </c>
      <c r="S25" s="28">
        <f t="shared" si="0"/>
        <v>83250</v>
      </c>
      <c r="T25" s="167">
        <f t="shared" si="2"/>
        <v>0.02962371481118845</v>
      </c>
      <c r="U25" s="324">
        <f t="shared" si="3"/>
        <v>45.79</v>
      </c>
      <c r="V25" s="380">
        <f t="shared" si="4"/>
        <v>0.00055003003003003</v>
      </c>
      <c r="W25" s="381">
        <f>SUMIF('YR3 Budget "Master"'!A:A,'Budget Summary'!B:B,'YR3 Budget "Master"'!F:F)+SUMIF('YR3 Budget "Master"'!A:A,'Budget Summary'!B:B,'YR3 Budget "Master"'!G:G)+SUMIF('YR3 Budget "Master"'!A:A,'Budget Summary'!B:B,'YR3 Budget "Master"'!H:H)</f>
        <v>30530</v>
      </c>
      <c r="X25" s="312"/>
      <c r="Y25" s="381">
        <f>SUMIF('YR3 Budget "Master"'!A:A,'Budget Summary'!B:B,'YR3 Budget "Master"'!I:I)+SUMIF('YR3 Budget "Master"'!A:A,'Budget Summary'!B:B,'YR3 Budget "Master"'!J:J)+SUMIF('YR3 Budget "Master"'!A:A,'Budget Summary'!B:B,'YR3 Budget "Master"'!K:K)</f>
        <v>60780</v>
      </c>
      <c r="Z25" s="312"/>
      <c r="AA25" s="381">
        <f>SUMIF('YR3 Budget "Master"'!A:A,'Budget Summary'!B:B,'YR3 Budget "Master"'!L:L)+SUMIF('YR3 Budget "Master"'!A:A,'Budget Summary'!B:B,'YR3 Budget "Master"'!M:M)+SUMIF('YR3 Budget "Master"'!A:A,'Budget Summary'!B:B,'YR3 Budget "Master"'!N:N)</f>
        <v>18675</v>
      </c>
      <c r="AB25" s="312"/>
      <c r="AC25" s="381">
        <f>SUMIF('YR3 Budget "Master"'!A:A,'Budget Summary'!B:B,'YR3 Budget "Master"'!O:O)+SUMIF('YR3 Budget "Master"'!A:A,'Budget Summary'!B:B,'YR3 Budget "Master"'!P:P)+SUMIF('YR3 Budget "Master"'!A:A,'Budget Summary'!B:B,'YR3 Budget "Master"'!Q:Q)</f>
        <v>4995</v>
      </c>
      <c r="AD25" s="381"/>
      <c r="AE25" s="312">
        <f t="shared" si="5"/>
        <v>114980</v>
      </c>
      <c r="AF25" s="381">
        <f>SUMIF('YR4 Budget revision 310315'!A:A,'Budget Summary'!B:B,'YR4 Budget revision 310315'!F:F)+SUMIF('YR4 Budget revision 310315'!A:A,'Budget Summary'!B:B,'YR4 Budget revision 310315'!G:G)+SUMIF('YR4 Budget revision 310315'!A:A,'Budget Summary'!B:B,'YR4 Budget revision 310315'!H:H)</f>
        <v>26885</v>
      </c>
      <c r="AG25" s="312"/>
      <c r="AH25" s="381">
        <f>SUMIF('YR4 Budget revision 310315'!A:A,'Budget Summary'!B:B,'YR4 Budget revision 310315'!I:I)+SUMIF('YR4 Budget revision 310315'!A:A,'Budget Summary'!B:B,'YR4 Budget revision 310315'!J:J)+SUMIF('YR4 Budget revision 310315'!A:A,'Budget Summary'!B:B,'YR4 Budget revision 310315'!K:K)</f>
        <v>49215</v>
      </c>
      <c r="AI25" s="312"/>
      <c r="AJ25" s="381">
        <f>SUMIF('YR4 Budget revision 310315'!A:A,'Budget Summary'!B:B,'YR4 Budget revision 310315'!L:L)+SUMIF('YR4 Budget revision 310315'!A:A,'Budget Summary'!B:B,'YR4 Budget revision 310315'!M:M)+SUMIF('YR4 Budget revision 310315'!A:A,'Budget Summary'!B:B,'YR4 Budget revision 310315'!N:N)</f>
        <v>16245</v>
      </c>
      <c r="AK25" s="312"/>
      <c r="AL25" s="381">
        <f>SUMIF('YR4 Budget revision 310315'!A:A,'Budget Summary'!B:B,'YR4 Budget revision 310315'!O:O)+SUMIF('YR4 Budget revision 310315'!A:A,'Budget Summary'!B:B,'YR4 Budget revision 310315'!P:P)+SUMIF('YR4 Budget revision 310315'!A:A,'Budget Summary'!B:B,'YR4 Budget revision 310315'!Q:Q)</f>
        <v>0</v>
      </c>
      <c r="AM25" s="381"/>
      <c r="AN25" s="28">
        <f>SUMIF('YR4 Budget revision 310315'!A:A,'Budget Summary'!B:B,'YR4 Budget revision 310315'!E:E)</f>
        <v>92345</v>
      </c>
      <c r="AO25" s="28">
        <f>SUMIF('YR5 PIVOT'!A:A,'Budget Summary'!B:B,'YR5 PIVOT'!B:B)</f>
        <v>0</v>
      </c>
      <c r="AP25" s="28">
        <f t="shared" si="6"/>
        <v>207370.78999999998</v>
      </c>
      <c r="AQ25" s="190">
        <f t="shared" si="7"/>
        <v>0.028464215780832462</v>
      </c>
    </row>
    <row r="26" spans="1:43" ht="15.75" customHeight="1">
      <c r="A26" s="18">
        <v>11</v>
      </c>
      <c r="B26" s="795" t="s">
        <v>34</v>
      </c>
      <c r="C26" s="796"/>
      <c r="D26" s="797"/>
      <c r="E26" s="28"/>
      <c r="F26" s="28"/>
      <c r="G26" s="28"/>
      <c r="H26" s="28"/>
      <c r="I26" s="28">
        <f>SUMIF('YR1 actual expenses'!A:A,'Budget Summary'!B:B,'YR1 actual expenses'!B:B)</f>
        <v>94923.84999999999</v>
      </c>
      <c r="J26" s="28">
        <f>SUMIF('YR2 Pivot by quarters'!A:A,'Budget Summary'!B:B,'YR2 Pivot by quarters'!B:B)</f>
        <v>70752.445</v>
      </c>
      <c r="K26" s="320">
        <f>SUMIF('Budget YR2-4 DC+Hm'!B:B,'Budget Summary'!B:B,'Budget YR2-4 DC+Hm'!M:M)</f>
        <v>38354.31</v>
      </c>
      <c r="L26" s="28">
        <f>SUMIF('YR2 Pivot by quarters'!A:A,'Budget Summary'!B:B,'YR2 Pivot by quarters'!C:C)</f>
        <v>69294.515</v>
      </c>
      <c r="M26" s="320">
        <f>SUMIF('Budget YR2-4 DC+Hm'!B:B,'Budget Summary'!B:B,'Budget YR2-4 DC+Hm'!O:O)</f>
        <v>64860.33999999998</v>
      </c>
      <c r="N26" s="28">
        <f>SUMIF('YR2 Pivot by quarters'!A:A,'Budget Summary'!B:B,'YR2 Pivot by quarters'!D:D)</f>
        <v>50494.515</v>
      </c>
      <c r="O26" s="320">
        <f>SUMIF('Budget YR2-4 DC+Hm'!B:B,'Budget Summary'!B:B,'Budget YR2-4 DC+Hm'!Q:Q)</f>
        <v>47831.33</v>
      </c>
      <c r="P26" s="28">
        <f>SUMIF('YR2 Pivot by quarters'!A:A,'Budget Summary'!B:B,'YR2 Pivot by quarters'!E:E)</f>
        <v>50494.515</v>
      </c>
      <c r="Q26" s="320">
        <f>SUMIF('Budget YR2-4 DC+Hm'!B:B,'Budget Summary'!B:B,'Budget YR2-4 DC+Hm'!S:S)</f>
        <v>38534.57</v>
      </c>
      <c r="R26" s="28">
        <f t="shared" si="1"/>
        <v>241035.99000000005</v>
      </c>
      <c r="S26" s="28">
        <f t="shared" si="0"/>
        <v>335959.84</v>
      </c>
      <c r="T26" s="167">
        <f t="shared" si="2"/>
        <v>0.11954808994801804</v>
      </c>
      <c r="U26" s="324">
        <f t="shared" si="3"/>
        <v>284504.39999999997</v>
      </c>
      <c r="V26" s="380">
        <f t="shared" si="4"/>
        <v>0.8468405033173011</v>
      </c>
      <c r="W26" s="381">
        <f>SUMIF('YR3 Budget "Master"'!A:A,'Budget Summary'!B:B,'YR3 Budget "Master"'!F:F)+SUMIF('YR3 Budget "Master"'!A:A,'Budget Summary'!B:B,'YR3 Budget "Master"'!G:G)+SUMIF('YR3 Budget "Master"'!A:A,'Budget Summary'!B:B,'YR3 Budget "Master"'!H:H)</f>
        <v>53400</v>
      </c>
      <c r="X26" s="312"/>
      <c r="Y26" s="381">
        <f>SUMIF('YR3 Budget "Master"'!A:A,'Budget Summary'!B:B,'YR3 Budget "Master"'!I:I)+SUMIF('YR3 Budget "Master"'!A:A,'Budget Summary'!B:B,'YR3 Budget "Master"'!J:J)+SUMIF('YR3 Budget "Master"'!A:A,'Budget Summary'!B:B,'YR3 Budget "Master"'!K:K)</f>
        <v>93300</v>
      </c>
      <c r="Z26" s="312"/>
      <c r="AA26" s="381">
        <f>SUMIF('YR3 Budget "Master"'!A:A,'Budget Summary'!B:B,'YR3 Budget "Master"'!L:L)+SUMIF('YR3 Budget "Master"'!A:A,'Budget Summary'!B:B,'YR3 Budget "Master"'!M:M)+SUMIF('YR3 Budget "Master"'!A:A,'Budget Summary'!B:B,'YR3 Budget "Master"'!N:N)</f>
        <v>47400</v>
      </c>
      <c r="AB26" s="312"/>
      <c r="AC26" s="381">
        <f>SUMIF('YR3 Budget "Master"'!A:A,'Budget Summary'!B:B,'YR3 Budget "Master"'!O:O)+SUMIF('YR3 Budget "Master"'!A:A,'Budget Summary'!B:B,'YR3 Budget "Master"'!P:P)+SUMIF('YR3 Budget "Master"'!A:A,'Budget Summary'!B:B,'YR3 Budget "Master"'!Q:Q)</f>
        <v>15400</v>
      </c>
      <c r="AD26" s="381"/>
      <c r="AE26" s="312">
        <f t="shared" si="5"/>
        <v>209500</v>
      </c>
      <c r="AF26" s="381">
        <f>SUMIF('YR4 Budget revision 310315'!A:A,'Budget Summary'!B:B,'YR4 Budget revision 310315'!F:F)+SUMIF('YR4 Budget revision 310315'!A:A,'Budget Summary'!B:B,'YR4 Budget revision 310315'!G:G)+SUMIF('YR4 Budget revision 310315'!A:A,'Budget Summary'!B:B,'YR4 Budget revision 310315'!H:H)</f>
        <v>56200</v>
      </c>
      <c r="AG26" s="312"/>
      <c r="AH26" s="381">
        <f>SUMIF('YR4 Budget revision 310315'!A:A,'Budget Summary'!B:B,'YR4 Budget revision 310315'!I:I)+SUMIF('YR4 Budget revision 310315'!A:A,'Budget Summary'!B:B,'YR4 Budget revision 310315'!J:J)+SUMIF('YR4 Budget revision 310315'!A:A,'Budget Summary'!B:B,'YR4 Budget revision 310315'!K:K)</f>
        <v>77800</v>
      </c>
      <c r="AI26" s="312"/>
      <c r="AJ26" s="381">
        <f>SUMIF('YR4 Budget revision 310315'!A:A,'Budget Summary'!B:B,'YR4 Budget revision 310315'!L:L)+SUMIF('YR4 Budget revision 310315'!A:A,'Budget Summary'!B:B,'YR4 Budget revision 310315'!M:M)+SUMIF('YR4 Budget revision 310315'!A:A,'Budget Summary'!B:B,'YR4 Budget revision 310315'!N:N)</f>
        <v>40700</v>
      </c>
      <c r="AK26" s="312"/>
      <c r="AL26" s="381">
        <f>SUMIF('YR4 Budget revision 310315'!A:A,'Budget Summary'!B:B,'YR4 Budget revision 310315'!O:O)+SUMIF('YR4 Budget revision 310315'!A:A,'Budget Summary'!B:B,'YR4 Budget revision 310315'!P:P)+SUMIF('YR4 Budget revision 310315'!A:A,'Budget Summary'!B:B,'YR4 Budget revision 310315'!Q:Q)</f>
        <v>13700</v>
      </c>
      <c r="AM26" s="381"/>
      <c r="AN26" s="28">
        <f>SUMIF('YR4 Budget revision 310315'!A:A,'Budget Summary'!B:B,'YR4 Budget revision 310315'!E:E)</f>
        <v>188400</v>
      </c>
      <c r="AO26" s="28">
        <f>SUMIF('YR5 PIVOT'!A:A,'Budget Summary'!B:B,'YR5 PIVOT'!B:B)+50000</f>
        <v>87900</v>
      </c>
      <c r="AP26" s="28">
        <f t="shared" si="6"/>
        <v>770304.3999999999</v>
      </c>
      <c r="AQ26" s="190">
        <f t="shared" si="7"/>
        <v>0.10573384351057678</v>
      </c>
    </row>
    <row r="27" spans="1:43" ht="15.75" customHeight="1">
      <c r="A27" s="18">
        <v>12</v>
      </c>
      <c r="B27" s="795" t="s">
        <v>35</v>
      </c>
      <c r="C27" s="796"/>
      <c r="D27" s="797"/>
      <c r="E27" s="28"/>
      <c r="F27" s="28"/>
      <c r="G27" s="28"/>
      <c r="H27" s="28"/>
      <c r="I27" s="28">
        <f>SUMIF('YR1 actual expenses'!A:A,'Budget Summary'!B:B,'YR1 actual expenses'!B:B)</f>
        <v>34983.148199999996</v>
      </c>
      <c r="J27" s="28">
        <f>SUMIF('YR2 Pivot by quarters'!A:A,'Budget Summary'!B:B,'YR2 Pivot by quarters'!B:B)</f>
        <v>54076.56950000002</v>
      </c>
      <c r="K27" s="320">
        <f>SUMIF('Budget YR2-4 DC+Hm'!B:B,'Budget Summary'!B:B,'Budget YR2-4 DC+Hm'!M:M)</f>
        <v>20403.72099999999</v>
      </c>
      <c r="L27" s="28">
        <f>SUMIF('YR2 Pivot by quarters'!A:A,'Budget Summary'!B:B,'YR2 Pivot by quarters'!C:C)</f>
        <v>54076.56950000002</v>
      </c>
      <c r="M27" s="320">
        <f>SUMIF('Budget YR2-4 DC+Hm'!B:B,'Budget Summary'!B:B,'Budget YR2-4 DC+Hm'!O:O)</f>
        <v>46388.20199999999</v>
      </c>
      <c r="N27" s="28">
        <f>SUMIF('YR2 Pivot by quarters'!A:A,'Budget Summary'!B:B,'YR2 Pivot by quarters'!D:D)</f>
        <v>54076.56950000002</v>
      </c>
      <c r="O27" s="320">
        <f>SUMIF('Budget YR2-4 DC+Hm'!B:B,'Budget Summary'!B:B,'Budget YR2-4 DC+Hm'!Q:Q)</f>
        <v>38980.99499999999</v>
      </c>
      <c r="P27" s="28">
        <f>SUMIF('YR2 Pivot by quarters'!A:A,'Budget Summary'!B:B,'YR2 Pivot by quarters'!E:E)</f>
        <v>54076.56950000002</v>
      </c>
      <c r="Q27" s="320">
        <f>SUMIF('Budget YR2-4 DC+Hm'!B:B,'Budget Summary'!B:B,'Budget YR2-4 DC+Hm'!S:S)</f>
        <v>30245.07486</v>
      </c>
      <c r="R27" s="28">
        <f t="shared" si="1"/>
        <v>216306.27800000008</v>
      </c>
      <c r="S27" s="28">
        <f t="shared" si="0"/>
        <v>251289.42620000007</v>
      </c>
      <c r="T27" s="167">
        <f t="shared" si="2"/>
        <v>0.08941893449628815</v>
      </c>
      <c r="U27" s="324">
        <f t="shared" si="3"/>
        <v>171001.14105999997</v>
      </c>
      <c r="V27" s="380">
        <f t="shared" si="4"/>
        <v>0.6804947730824972</v>
      </c>
      <c r="W27" s="381">
        <f>SUMIF('YR3 Budget "Master"'!A:A,'Budget Summary'!B:B,'YR3 Budget "Master"'!F:F)+SUMIF('YR3 Budget "Master"'!A:A,'Budget Summary'!B:B,'YR3 Budget "Master"'!G:G)+SUMIF('YR3 Budget "Master"'!A:A,'Budget Summary'!B:B,'YR3 Budget "Master"'!H:H)</f>
        <v>48449.725999999995</v>
      </c>
      <c r="X27" s="312"/>
      <c r="Y27" s="381">
        <f>SUMIF('YR3 Budget "Master"'!A:A,'Budget Summary'!B:B,'YR3 Budget "Master"'!I:I)+SUMIF('YR3 Budget "Master"'!A:A,'Budget Summary'!B:B,'YR3 Budget "Master"'!J:J)+SUMIF('YR3 Budget "Master"'!A:A,'Budget Summary'!B:B,'YR3 Budget "Master"'!K:K)</f>
        <v>76269.601</v>
      </c>
      <c r="Z27" s="312"/>
      <c r="AA27" s="381">
        <f>SUMIF('YR3 Budget "Master"'!A:A,'Budget Summary'!B:B,'YR3 Budget "Master"'!L:L)+SUMIF('YR3 Budget "Master"'!A:A,'Budget Summary'!B:B,'YR3 Budget "Master"'!M:M)+SUMIF('YR3 Budget "Master"'!A:A,'Budget Summary'!B:B,'YR3 Budget "Master"'!N:N)</f>
        <v>47277.850999999995</v>
      </c>
      <c r="AB27" s="312"/>
      <c r="AC27" s="381">
        <f>SUMIF('YR3 Budget "Master"'!A:A,'Budget Summary'!B:B,'YR3 Budget "Master"'!O:O)+SUMIF('YR3 Budget "Master"'!A:A,'Budget Summary'!B:B,'YR3 Budget "Master"'!P:P)+SUMIF('YR3 Budget "Master"'!A:A,'Budget Summary'!B:B,'YR3 Budget "Master"'!Q:Q)</f>
        <v>39643.600999999995</v>
      </c>
      <c r="AD27" s="381"/>
      <c r="AE27" s="312">
        <f t="shared" si="5"/>
        <v>211640.77899999998</v>
      </c>
      <c r="AF27" s="381">
        <f>SUMIF('YR4 Budget revision 310315'!A:A,'Budget Summary'!B:B,'YR4 Budget revision 310315'!F:F)+SUMIF('YR4 Budget revision 310315'!A:A,'Budget Summary'!B:B,'YR4 Budget revision 310315'!G:G)+SUMIF('YR4 Budget revision 310315'!A:A,'Budget Summary'!B:B,'YR4 Budget revision 310315'!H:H)</f>
        <v>46999.7373</v>
      </c>
      <c r="AG27" s="312"/>
      <c r="AH27" s="381">
        <f>SUMIF('YR4 Budget revision 310315'!A:A,'Budget Summary'!B:B,'YR4 Budget revision 310315'!I:I)+SUMIF('YR4 Budget revision 310315'!A:A,'Budget Summary'!B:B,'YR4 Budget revision 310315'!J:J)+SUMIF('YR4 Budget revision 310315'!A:A,'Budget Summary'!B:B,'YR4 Budget revision 310315'!K:K)</f>
        <v>66537.9623</v>
      </c>
      <c r="AI27" s="312"/>
      <c r="AJ27" s="381">
        <f>SUMIF('YR4 Budget revision 310315'!A:A,'Budget Summary'!B:B,'YR4 Budget revision 310315'!L:L)+SUMIF('YR4 Budget revision 310315'!A:A,'Budget Summary'!B:B,'YR4 Budget revision 310315'!M:M)+SUMIF('YR4 Budget revision 310315'!A:A,'Budget Summary'!B:B,'YR4 Budget revision 310315'!N:N)</f>
        <v>45337.1498</v>
      </c>
      <c r="AK27" s="312"/>
      <c r="AL27" s="381">
        <f>SUMIF('YR4 Budget revision 310315'!A:A,'Budget Summary'!B:B,'YR4 Budget revision 310315'!O:O)+SUMIF('YR4 Budget revision 310315'!A:A,'Budget Summary'!B:B,'YR4 Budget revision 310315'!P:P)+SUMIF('YR4 Budget revision 310315'!A:A,'Budget Summary'!B:B,'YR4 Budget revision 310315'!Q:Q)</f>
        <v>36663.3248</v>
      </c>
      <c r="AM27" s="381"/>
      <c r="AN27" s="28">
        <f>SUMIF('YR4 Budget revision 310315'!A:A,'Budget Summary'!B:B,'YR4 Budget revision 310315'!E:E)</f>
        <v>195538.1742</v>
      </c>
      <c r="AO27" s="28">
        <v>65457</v>
      </c>
      <c r="AP27" s="28">
        <f t="shared" si="6"/>
        <v>643637.0942599999</v>
      </c>
      <c r="AQ27" s="190">
        <f t="shared" si="7"/>
        <v>0.08834718301244184</v>
      </c>
    </row>
    <row r="28" spans="1:43" ht="15.75" customHeight="1">
      <c r="A28" s="19">
        <v>13</v>
      </c>
      <c r="B28" s="774" t="s">
        <v>0</v>
      </c>
      <c r="C28" s="775"/>
      <c r="D28" s="776"/>
      <c r="E28" s="28"/>
      <c r="F28" s="28"/>
      <c r="G28" s="28"/>
      <c r="H28" s="28"/>
      <c r="I28" s="28">
        <f>SUMIF('YR1 actual expenses'!A:A,'Budget Summary'!B:B,'YR1 actual expenses'!B:B)</f>
        <v>0</v>
      </c>
      <c r="J28" s="28">
        <f>SUMIF('YR2 Pivot by quarters'!A:A,'Budget Summary'!B:B,'YR2 Pivot by quarters'!B:B)</f>
        <v>0</v>
      </c>
      <c r="K28" s="320">
        <f>SUMIF('Budget YR2-4 DC+Hm'!B:B,'Budget Summary'!B:B,'Budget YR2-4 DC+Hm'!M:M)</f>
        <v>0</v>
      </c>
      <c r="L28" s="28">
        <f>SUMIF('YR2 Pivot by quarters'!A:A,'Budget Summary'!B:B,'YR2 Pivot by quarters'!C:C)</f>
        <v>0</v>
      </c>
      <c r="M28" s="320">
        <f>SUMIF('Budget YR2-4 DC+Hm'!B:B,'Budget Summary'!B:B,'Budget YR2-4 DC+Hm'!O:O)</f>
        <v>0</v>
      </c>
      <c r="N28" s="28">
        <f>SUMIF('YR2 Pivot by quarters'!A:A,'Budget Summary'!B:B,'YR2 Pivot by quarters'!D:D)</f>
        <v>0</v>
      </c>
      <c r="O28" s="320">
        <f>SUMIF('Budget YR2-4 DC+Hm'!B:B,'Budget Summary'!B:B,'Budget YR2-4 DC+Hm'!Q:Q)</f>
        <v>0</v>
      </c>
      <c r="P28" s="28">
        <f>SUMIF('YR2 Pivot by quarters'!A:A,'Budget Summary'!B:B,'YR2 Pivot by quarters'!E:E)</f>
        <v>0</v>
      </c>
      <c r="Q28" s="320">
        <f>SUMIF('Budget YR2-4 DC+Hm'!B:B,'Budget Summary'!B:B,'Budget YR2-4 DC+Hm'!S:S)</f>
        <v>0</v>
      </c>
      <c r="R28" s="28">
        <f t="shared" si="1"/>
        <v>0</v>
      </c>
      <c r="S28" s="28">
        <f t="shared" si="0"/>
        <v>0</v>
      </c>
      <c r="T28" s="28"/>
      <c r="U28" s="324">
        <f t="shared" si="3"/>
        <v>0</v>
      </c>
      <c r="V28" s="320"/>
      <c r="W28" s="382">
        <f>SUMIF('YR3 Budget "Master"'!A:A,'Budget Summary'!B:B,'YR3 Budget "Master"'!F:F)+SUMIF('YR3 Budget "Master"'!A:A,'Budget Summary'!B:B,'YR3 Budget "Master"'!G:G)+SUMIF('YR3 Budget "Master"'!A:A,'Budget Summary'!B:B,'YR3 Budget "Master"'!H:H)</f>
        <v>0</v>
      </c>
      <c r="X28" s="312"/>
      <c r="Y28" s="381">
        <f>SUMIF('YR3 Budget "Master"'!A:A,'Budget Summary'!B:B,'YR3 Budget "Master"'!I:I)+SUMIF('YR3 Budget "Master"'!A:A,'Budget Summary'!B:B,'YR3 Budget "Master"'!J:J)+SUMIF('YR3 Budget "Master"'!A:A,'Budget Summary'!B:B,'YR3 Budget "Master"'!K:K)</f>
        <v>0</v>
      </c>
      <c r="Z28" s="312"/>
      <c r="AA28" s="382">
        <f>SUMIF('YR3 Budget "Master"'!A:A,'Budget Summary'!B:B,'YR3 Budget "Master"'!L:L)+SUMIF('YR3 Budget "Master"'!A:A,'Budget Summary'!B:B,'YR3 Budget "Master"'!M:M)+SUMIF('YR3 Budget "Master"'!A:A,'Budget Summary'!B:B,'YR3 Budget "Master"'!N:N)</f>
        <v>0</v>
      </c>
      <c r="AB28" s="312"/>
      <c r="AC28" s="382">
        <f>SUMIF('YR3 Budget "Master"'!A:A,'Budget Summary'!B:B,'YR3 Budget "Master"'!O:O)+SUMIF('YR3 Budget "Master"'!A:A,'Budget Summary'!B:B,'YR3 Budget "Master"'!P:P)+SUMIF('YR3 Budget "Master"'!A:A,'Budget Summary'!B:B,'YR3 Budget "Master"'!Q:Q)</f>
        <v>0</v>
      </c>
      <c r="AD28" s="381"/>
      <c r="AE28" s="312">
        <f t="shared" si="5"/>
        <v>0</v>
      </c>
      <c r="AF28" s="382">
        <f>SUMIF('YR4 Budget revision 310315'!A:A,'Budget Summary'!B:B,'YR4 Budget revision 310315'!F:F)+SUMIF('YR4 Budget revision 310315'!A:A,'Budget Summary'!B:B,'YR4 Budget revision 310315'!G:G)+SUMIF('YR4 Budget revision 310315'!A:A,'Budget Summary'!B:B,'YR4 Budget revision 310315'!H:H)</f>
        <v>0</v>
      </c>
      <c r="AG28" s="312"/>
      <c r="AH28" s="382">
        <f>SUMIF('YR4 Budget revision 310315'!A:A,'Budget Summary'!B:B,'YR4 Budget revision 310315'!I:I)+SUMIF('YR4 Budget revision 310315'!A:A,'Budget Summary'!B:B,'YR4 Budget revision 310315'!J:J)+SUMIF('YR4 Budget revision 310315'!A:A,'Budget Summary'!B:B,'YR4 Budget revision 310315'!K:K)</f>
        <v>0</v>
      </c>
      <c r="AI28" s="312"/>
      <c r="AJ28" s="382">
        <f>SUMIF('YR4 Budget revision 310315'!A:A,'Budget Summary'!B:B,'YR4 Budget revision 310315'!L:L)+SUMIF('YR4 Budget revision 310315'!A:A,'Budget Summary'!B:B,'YR4 Budget revision 310315'!M:M)+SUMIF('YR4 Budget revision 310315'!A:A,'Budget Summary'!B:B,'YR4 Budget revision 310315'!N:N)</f>
        <v>0</v>
      </c>
      <c r="AK28" s="312"/>
      <c r="AL28" s="382">
        <f>SUMIF('YR4 Budget revision 310315'!A:A,'Budget Summary'!B:B,'YR4 Budget revision 310315'!O:O)+SUMIF('YR4 Budget revision 310315'!A:A,'Budget Summary'!B:B,'YR4 Budget revision 310315'!P:P)+SUMIF('YR4 Budget revision 310315'!A:A,'Budget Summary'!B:B,'YR4 Budget revision 310315'!Q:Q)</f>
        <v>0</v>
      </c>
      <c r="AM28" s="381"/>
      <c r="AN28" s="28">
        <f>SUMIF('YR4 PIVOT'!A:A,'Budget Summary'!B:B,'YR4 PIVOT'!B:B)</f>
        <v>0</v>
      </c>
      <c r="AO28" s="28">
        <f>SUMIF('YR5 PIVOT'!A:A,'Budget Summary'!B:B,'YR5 PIVOT'!B:B)</f>
        <v>0</v>
      </c>
      <c r="AP28" s="28">
        <f t="shared" si="6"/>
        <v>0</v>
      </c>
      <c r="AQ28" s="190">
        <f t="shared" si="7"/>
        <v>0</v>
      </c>
    </row>
    <row r="29" spans="1:45" ht="15.75" customHeight="1" thickBot="1">
      <c r="A29" s="777" t="s">
        <v>36</v>
      </c>
      <c r="B29" s="778"/>
      <c r="C29" s="778"/>
      <c r="D29" s="779"/>
      <c r="E29" s="29">
        <f>SUM(E16:E28)</f>
        <v>0</v>
      </c>
      <c r="F29" s="29">
        <f aca="true" t="shared" si="8" ref="F29:AQ29">SUM(F16:F28)</f>
        <v>0</v>
      </c>
      <c r="G29" s="29">
        <f t="shared" si="8"/>
        <v>0</v>
      </c>
      <c r="H29" s="29">
        <f t="shared" si="8"/>
        <v>0</v>
      </c>
      <c r="I29" s="29">
        <f t="shared" si="8"/>
        <v>534742.4082000001</v>
      </c>
      <c r="J29" s="29">
        <f t="shared" si="8"/>
        <v>918782.962</v>
      </c>
      <c r="K29" s="318">
        <f t="shared" si="8"/>
        <v>224440.93099999998</v>
      </c>
      <c r="L29" s="29">
        <f t="shared" si="8"/>
        <v>582619.3753333334</v>
      </c>
      <c r="M29" s="318">
        <f t="shared" si="8"/>
        <v>510270.222</v>
      </c>
      <c r="N29" s="29">
        <f t="shared" si="8"/>
        <v>428559.37533333345</v>
      </c>
      <c r="O29" s="318">
        <f t="shared" si="8"/>
        <v>404790.94500000007</v>
      </c>
      <c r="P29" s="29">
        <f t="shared" si="8"/>
        <v>345544.3753333334</v>
      </c>
      <c r="Q29" s="318">
        <f t="shared" si="8"/>
        <v>332695.82346</v>
      </c>
      <c r="R29" s="29">
        <f t="shared" si="8"/>
        <v>2275506.0880000005</v>
      </c>
      <c r="S29" s="29">
        <f t="shared" si="8"/>
        <v>2810248.4962</v>
      </c>
      <c r="T29" s="311">
        <f>SUM(T16:T28)</f>
        <v>1</v>
      </c>
      <c r="U29" s="326">
        <f t="shared" si="8"/>
        <v>2006940.32966</v>
      </c>
      <c r="V29" s="327">
        <f t="shared" si="4"/>
        <v>0.7141504861131576</v>
      </c>
      <c r="W29" s="313">
        <f t="shared" si="8"/>
        <v>532946.986</v>
      </c>
      <c r="X29" s="313"/>
      <c r="Y29" s="313">
        <f t="shared" si="8"/>
        <v>838965.611</v>
      </c>
      <c r="Z29" s="313"/>
      <c r="AA29" s="313">
        <f t="shared" si="8"/>
        <v>520056.36100000003</v>
      </c>
      <c r="AB29" s="313"/>
      <c r="AC29" s="313">
        <f t="shared" si="8"/>
        <v>436079.61100000003</v>
      </c>
      <c r="AD29" s="29"/>
      <c r="AE29" s="313">
        <f t="shared" si="8"/>
        <v>2328048.569</v>
      </c>
      <c r="AF29" s="313">
        <f>SUM(AF16:AF28)</f>
        <v>516997.1103</v>
      </c>
      <c r="AG29" s="313"/>
      <c r="AH29" s="313">
        <f>SUM(AH16:AH28)</f>
        <v>731917.5853</v>
      </c>
      <c r="AI29" s="313"/>
      <c r="AJ29" s="313">
        <f>SUM(AJ16:AJ28)</f>
        <v>498708.64780000004</v>
      </c>
      <c r="AK29" s="313"/>
      <c r="AL29" s="313">
        <f>SUM(AL16:AL28)</f>
        <v>403296.5728</v>
      </c>
      <c r="AM29" s="29"/>
      <c r="AN29" s="29">
        <f t="shared" si="8"/>
        <v>2150919.9162</v>
      </c>
      <c r="AO29" s="29">
        <f t="shared" si="8"/>
        <v>799406.6</v>
      </c>
      <c r="AP29" s="29">
        <f t="shared" si="8"/>
        <v>7285315.414859999</v>
      </c>
      <c r="AQ29" s="29">
        <f t="shared" si="8"/>
        <v>1.0000000000000002</v>
      </c>
      <c r="AS29" s="245"/>
    </row>
    <row r="30" spans="1:43" ht="15">
      <c r="A30" s="3"/>
      <c r="B30" s="20"/>
      <c r="C30" s="3"/>
      <c r="D30" s="3"/>
      <c r="E30" s="3"/>
      <c r="F30" s="3"/>
      <c r="G30" s="3"/>
      <c r="H30" s="3"/>
      <c r="I30" s="26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ht="18" customHeight="1">
      <c r="A31" s="12" t="s">
        <v>13</v>
      </c>
      <c r="B31" s="13"/>
      <c r="C31" s="13"/>
      <c r="D31" s="13"/>
      <c r="E31" s="13"/>
      <c r="F31" s="13"/>
      <c r="G31" s="13"/>
      <c r="H31" s="13"/>
      <c r="I31" s="13"/>
      <c r="J31" s="13"/>
      <c r="K31" s="13"/>
      <c r="L31" s="256"/>
      <c r="M31" s="256"/>
      <c r="N31" s="256"/>
      <c r="O31" s="25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9.75" customHeight="1" thickBo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ht="15">
      <c r="A33" s="790" t="s">
        <v>1</v>
      </c>
      <c r="B33" s="790" t="s">
        <v>9</v>
      </c>
      <c r="C33" s="782" t="s">
        <v>42</v>
      </c>
      <c r="D33" s="783"/>
      <c r="E33" s="805" t="s">
        <v>2</v>
      </c>
      <c r="F33" s="805"/>
      <c r="G33" s="805"/>
      <c r="H33" s="805"/>
      <c r="I33" s="766" t="s">
        <v>3</v>
      </c>
      <c r="J33" s="805" t="s">
        <v>10</v>
      </c>
      <c r="K33" s="805"/>
      <c r="L33" s="805"/>
      <c r="M33" s="805"/>
      <c r="N33" s="805"/>
      <c r="O33" s="805"/>
      <c r="P33" s="805"/>
      <c r="Q33" s="260"/>
      <c r="R33" s="766" t="s">
        <v>11</v>
      </c>
      <c r="S33" s="767" t="s">
        <v>12</v>
      </c>
      <c r="T33" s="806" t="s">
        <v>1241</v>
      </c>
      <c r="U33" s="798" t="s">
        <v>1240</v>
      </c>
      <c r="V33" s="800" t="s">
        <v>18</v>
      </c>
      <c r="W33" s="791" t="s">
        <v>37</v>
      </c>
      <c r="X33" s="792"/>
      <c r="Y33" s="792"/>
      <c r="Z33" s="792"/>
      <c r="AA33" s="792"/>
      <c r="AB33" s="792"/>
      <c r="AC33" s="792"/>
      <c r="AD33" s="767"/>
      <c r="AE33" s="766" t="s">
        <v>37</v>
      </c>
      <c r="AF33" s="792" t="s">
        <v>38</v>
      </c>
      <c r="AG33" s="792"/>
      <c r="AH33" s="792"/>
      <c r="AI33" s="792"/>
      <c r="AJ33" s="792"/>
      <c r="AK33" s="792"/>
      <c r="AL33" s="792"/>
      <c r="AM33" s="767"/>
      <c r="AN33" s="766" t="s">
        <v>38</v>
      </c>
      <c r="AO33" s="766" t="s">
        <v>39</v>
      </c>
      <c r="AP33" s="790" t="s">
        <v>40</v>
      </c>
      <c r="AQ33" s="790" t="s">
        <v>18</v>
      </c>
    </row>
    <row r="34" spans="1:43" ht="15">
      <c r="A34" s="790"/>
      <c r="B34" s="790"/>
      <c r="C34" s="784"/>
      <c r="D34" s="785"/>
      <c r="E34" s="15" t="s">
        <v>4</v>
      </c>
      <c r="F34" s="15" t="s">
        <v>5</v>
      </c>
      <c r="G34" s="15" t="s">
        <v>6</v>
      </c>
      <c r="H34" s="15" t="s">
        <v>7</v>
      </c>
      <c r="I34" s="766"/>
      <c r="J34" s="15" t="s">
        <v>20</v>
      </c>
      <c r="K34" s="319" t="s">
        <v>873</v>
      </c>
      <c r="L34" s="15" t="s">
        <v>21</v>
      </c>
      <c r="M34" s="319" t="s">
        <v>876</v>
      </c>
      <c r="N34" s="15" t="s">
        <v>22</v>
      </c>
      <c r="O34" s="319" t="s">
        <v>878</v>
      </c>
      <c r="P34" s="15" t="s">
        <v>23</v>
      </c>
      <c r="Q34" s="319" t="s">
        <v>880</v>
      </c>
      <c r="R34" s="766"/>
      <c r="S34" s="767"/>
      <c r="T34" s="807"/>
      <c r="U34" s="799"/>
      <c r="V34" s="804"/>
      <c r="W34" s="329" t="s">
        <v>1268</v>
      </c>
      <c r="X34" s="319" t="s">
        <v>1269</v>
      </c>
      <c r="Y34" s="329" t="s">
        <v>1280</v>
      </c>
      <c r="Z34" s="319" t="s">
        <v>1281</v>
      </c>
      <c r="AA34" s="329" t="s">
        <v>1270</v>
      </c>
      <c r="AB34" s="319" t="s">
        <v>1271</v>
      </c>
      <c r="AC34" s="329" t="s">
        <v>1272</v>
      </c>
      <c r="AD34" s="319" t="s">
        <v>1273</v>
      </c>
      <c r="AE34" s="766"/>
      <c r="AF34" s="383" t="s">
        <v>1274</v>
      </c>
      <c r="AG34" s="319" t="s">
        <v>1282</v>
      </c>
      <c r="AH34" s="329" t="s">
        <v>1283</v>
      </c>
      <c r="AI34" s="319" t="s">
        <v>1275</v>
      </c>
      <c r="AJ34" s="329" t="s">
        <v>1284</v>
      </c>
      <c r="AK34" s="319" t="s">
        <v>1285</v>
      </c>
      <c r="AL34" s="329" t="s">
        <v>1286</v>
      </c>
      <c r="AM34" s="319" t="s">
        <v>1287</v>
      </c>
      <c r="AN34" s="766"/>
      <c r="AO34" s="766"/>
      <c r="AP34" s="790"/>
      <c r="AQ34" s="790"/>
    </row>
    <row r="35" spans="1:43" ht="15.75" customHeight="1">
      <c r="A35" s="21">
        <v>1</v>
      </c>
      <c r="B35" s="24" t="s">
        <v>852</v>
      </c>
      <c r="C35" s="780" t="s">
        <v>857</v>
      </c>
      <c r="D35" s="781"/>
      <c r="E35" s="26"/>
      <c r="F35" s="26"/>
      <c r="G35" s="26"/>
      <c r="H35" s="26"/>
      <c r="I35" s="307">
        <f>SUMIF('YR1 actual expenses'!D:D,'Budget Summary'!B:B,'YR1 actual expenses'!E:E)</f>
        <v>16550.84</v>
      </c>
      <c r="J35" s="308">
        <f>SUMIF('YR2 Pivot by quarters'!G:G,'Budget Summary'!B:B,'YR2 Pivot by quarters'!H:H)</f>
        <v>27101.3825</v>
      </c>
      <c r="K35" s="321">
        <f>SUMIF('Budget YR2-4 DC+Hm'!C:C,'Budget Summary'!B:B,'Budget YR2-4 DC+Hm'!M:M)</f>
        <v>14934.980000000001</v>
      </c>
      <c r="L35" s="308">
        <f>SUMIF('YR2 Pivot by quarters'!G:G,'Budget Summary'!B:B,'YR2 Pivot by quarters'!I:I)</f>
        <v>30689.3825</v>
      </c>
      <c r="M35" s="321">
        <f>SUMIF('Budget YR2-4 DC+Hm'!C:C,'Budget Summary'!B:B,'Budget YR2-4 DC+Hm'!O:O)</f>
        <v>19829.95</v>
      </c>
      <c r="N35" s="308">
        <f>SUMIF('YR2 Pivot by quarters'!G:G,'Budget Summary'!B:B,'YR2 Pivot by quarters'!J:J)</f>
        <v>23689.3825</v>
      </c>
      <c r="O35" s="321">
        <f>SUMIF('Budget YR2-4 DC+Hm'!C:C,'Budget Summary'!B:B,'Budget YR2-4 DC+Hm'!Q:Q)</f>
        <v>36573.57</v>
      </c>
      <c r="P35" s="308">
        <f>SUMIF('YR2 Pivot by quarters'!G:G,'Budget Summary'!B:B,'YR2 Pivot by quarters'!K:K)</f>
        <v>22689.3825</v>
      </c>
      <c r="Q35" s="321">
        <f>SUMIF('Budget YR2-4 DC+Hm'!C:C,'Budget Summary'!B:B,'Budget YR2-4 DC+Hm'!S:S)</f>
        <v>11145.01</v>
      </c>
      <c r="R35" s="317">
        <f>J35+L35+N35+P35</f>
        <v>104169.53</v>
      </c>
      <c r="S35" s="309">
        <f aca="true" t="shared" si="9" ref="S35:S47">+I35+R35</f>
        <v>120720.37</v>
      </c>
      <c r="T35" s="167">
        <f>S35/S$48</f>
        <v>0.042957186940314106</v>
      </c>
      <c r="U35" s="328">
        <f>I35+K35+M35+O35+Q35</f>
        <v>99034.34999999999</v>
      </c>
      <c r="V35" s="325">
        <f>U35/S35</f>
        <v>0.8203615512444171</v>
      </c>
      <c r="W35" s="381">
        <f>SUMIF('YR3 Budget "Master"'!B:B,'Budget Summary'!B:B,'YR3 Budget "Master"'!F:F)+SUMIF('YR3 Budget "Master"'!B:B,'Budget Summary'!B:B,'YR3 Budget "Master"'!G:G)+SUMIF('YR3 Budget "Master"'!B:B,'Budget Summary'!B:B,'YR3 Budget "Master"'!H:H)</f>
        <v>113000</v>
      </c>
      <c r="X35" s="381"/>
      <c r="Y35" s="381">
        <f>SUMIF('YR3 Budget "Master"'!B:B,'Budget Summary'!B:B,'YR3 Budget "Master"'!I:I)+SUMIF('YR3 Budget "Master"'!B:B,'Budget Summary'!B:B,'YR3 Budget "Master"'!J:J)+SUMIF('YR3 Budget "Master"'!B:B,'Budget Summary'!B:B,'YR3 Budget "Master"'!K:K)</f>
        <v>108750</v>
      </c>
      <c r="Z35" s="381"/>
      <c r="AA35" s="381">
        <f>SUMIF('YR3 Budget "Master"'!B:B,'Budget Summary'!B:B,'YR3 Budget "Master"'!L:L)+SUMIF('YR3 Budget "Master"'!B:B,'Budget Summary'!B:B,'YR3 Budget "Master"'!M:M)+SUMIF('YR3 Budget "Master"'!B:B,'Budget Summary'!B:B,'YR3 Budget "Master"'!N:N)</f>
        <v>113500</v>
      </c>
      <c r="AB35" s="381"/>
      <c r="AC35" s="381">
        <f>SUMIF('YR3 Budget "Master"'!B:B,'Budget Summary'!B:B,'YR3 Budget "Master"'!O:O)+SUMIF('YR3 Budget "Master"'!B:B,'Budget Summary'!B:B,'YR3 Budget "Master"'!P:P)+SUMIF('YR3 Budget "Master"'!B:B,'Budget Summary'!B:B,'YR3 Budget "Master"'!Q:Q)</f>
        <v>122000</v>
      </c>
      <c r="AD35" s="381"/>
      <c r="AE35" s="381">
        <f aca="true" t="shared" si="10" ref="AE35:AE47">W35+Y35+AA35+AC35</f>
        <v>457250</v>
      </c>
      <c r="AF35" s="381">
        <f>SUMIF('YR4 Budget revision 310315'!B:B,'Budget Summary'!B:B,'YR4 Budget revision 310315'!F:F)+SUMIF('YR4 Budget revision 310315'!B:B,'Budget Summary'!B:B,'YR4 Budget revision 310315'!G:G)+SUMIF('YR4 Budget revision 310315'!B:B,'Budget Summary'!B:B,'YR4 Budget revision 310315'!H:H)</f>
        <v>87037</v>
      </c>
      <c r="AG35" s="381"/>
      <c r="AH35" s="381">
        <f>SUMIF('YR4 Budget revision 310315'!B:B,'Budget Summary'!B:B,'YR4 Budget revision 310315'!I:I)+SUMIF('YR4 Budget revision 310315'!B:B,'Budget Summary'!B:B,'YR4 Budget revision 310315'!J:J)+SUMIF('YR4 Budget revision 310315'!B:B,'Budget Summary'!B:B,'YR4 Budget revision 310315'!K:K)</f>
        <v>78315.75</v>
      </c>
      <c r="AI35" s="381"/>
      <c r="AJ35" s="381">
        <f>SUMIF('YR4 Budget revision 310315'!B:B,'Budget Summary'!B:B,'YR4 Budget revision 310315'!L:L)+SUMIF('YR4 Budget revision 310315'!B:B,'Budget Summary'!B:B,'YR4 Budget revision 310315'!M:M)+SUMIF('YR4 Budget revision 310315'!B:B,'Budget Summary'!B:B,'YR4 Budget revision 310315'!N:N)</f>
        <v>86954.5</v>
      </c>
      <c r="AK35" s="381"/>
      <c r="AL35" s="381">
        <f>SUMIF('YR4 Budget revision 310315'!B:B,'Budget Summary'!B:B,'YR4 Budget revision 310315'!O:O)+SUMIF('YR4 Budget revision 310315'!B:B,'Budget Summary'!B:B,'YR4 Budget revision 310315'!P:P)+SUMIF('YR4 Budget revision 310315'!B:B,'Budget Summary'!B:B,'YR4 Budget revision 310315'!Q:Q)</f>
        <v>95593.25</v>
      </c>
      <c r="AM35" s="381"/>
      <c r="AN35" s="28">
        <f>SUMIF('YR4 Budget revision 310315'!B:B,'Budget Summary'!B:B,'YR4 Budget revision 310315'!E:E)</f>
        <v>347900.5</v>
      </c>
      <c r="AO35" s="308">
        <f>SUMIF('YR5 PIVOT'!D:D,'Budget Summary'!B:B,'YR5 PIVOT'!E:E)+130000</f>
        <v>154400</v>
      </c>
      <c r="AP35" s="28">
        <f aca="true" t="shared" si="11" ref="AP35:AP47">SUM(U35,AE35,AN35,AO35)</f>
        <v>1058584.85</v>
      </c>
      <c r="AQ35" s="167">
        <f aca="true" t="shared" si="12" ref="AQ35:AQ47">AP35/AP$48</f>
        <v>0.14530392528527403</v>
      </c>
    </row>
    <row r="36" spans="1:43" ht="15.75" customHeight="1">
      <c r="A36" s="21">
        <v>2</v>
      </c>
      <c r="B36" s="24" t="s">
        <v>48</v>
      </c>
      <c r="C36" s="780" t="s">
        <v>858</v>
      </c>
      <c r="D36" s="781"/>
      <c r="E36" s="26"/>
      <c r="F36" s="26"/>
      <c r="G36" s="26"/>
      <c r="H36" s="26"/>
      <c r="I36" s="307">
        <f>SUMIF('YR1 actual expenses'!D:D,'Budget Summary'!B:B,'YR1 actual expenses'!E:E)</f>
        <v>113527.97</v>
      </c>
      <c r="J36" s="308">
        <f>SUMIF('YR2 Pivot by quarters'!G:G,'Budget Summary'!B:B,'YR2 Pivot by quarters'!H:H)</f>
        <v>83994.41</v>
      </c>
      <c r="K36" s="321">
        <f>SUMIF('Budget YR2-4 DC+Hm'!C:C,'Budget Summary'!B:B,'Budget YR2-4 DC+Hm'!M:M)</f>
        <v>30464.47</v>
      </c>
      <c r="L36" s="308">
        <f>SUMIF('YR2 Pivot by quarters'!G:G,'Budget Summary'!B:B,'YR2 Pivot by quarters'!I:I)</f>
        <v>109994.41</v>
      </c>
      <c r="M36" s="321">
        <f>SUMIF('Budget YR2-4 DC+Hm'!C:C,'Budget Summary'!B:B,'Budget YR2-4 DC+Hm'!O:O)</f>
        <v>22617.190000000002</v>
      </c>
      <c r="N36" s="308">
        <f>SUMIF('YR2 Pivot by quarters'!G:G,'Budget Summary'!B:B,'YR2 Pivot by quarters'!J:J)</f>
        <v>40994.41</v>
      </c>
      <c r="O36" s="321">
        <f>SUMIF('Budget YR2-4 DC+Hm'!C:C,'Budget Summary'!B:B,'Budget YR2-4 DC+Hm'!Q:Q)</f>
        <v>34710.35</v>
      </c>
      <c r="P36" s="308">
        <f>SUMIF('YR2 Pivot by quarters'!G:G,'Budget Summary'!B:B,'YR2 Pivot by quarters'!K:K)</f>
        <v>28994.41</v>
      </c>
      <c r="Q36" s="321">
        <f>SUMIF('Budget YR2-4 DC+Hm'!C:C,'Budget Summary'!B:B,'Budget YR2-4 DC+Hm'!S:S)</f>
        <v>46266.46000000001</v>
      </c>
      <c r="R36" s="317">
        <f aca="true" t="shared" si="13" ref="R36:R47">J36+L36+N36+P36</f>
        <v>263977.64</v>
      </c>
      <c r="S36" s="309">
        <f t="shared" si="9"/>
        <v>377505.61</v>
      </c>
      <c r="T36" s="167">
        <f aca="true" t="shared" si="14" ref="T36:T47">S36/S$48</f>
        <v>0.13433175411728204</v>
      </c>
      <c r="U36" s="328">
        <f>I36+K36+M36+O36+Q36</f>
        <v>247586.44</v>
      </c>
      <c r="V36" s="325">
        <f aca="true" t="shared" si="15" ref="V36:V47">U36/S36</f>
        <v>0.6558483726904085</v>
      </c>
      <c r="W36" s="381">
        <f>SUMIF('YR3 Budget "Master"'!B:B,'Budget Summary'!B:B,'YR3 Budget "Master"'!F:F)+SUMIF('YR3 Budget "Master"'!B:B,'Budget Summary'!B:B,'YR3 Budget "Master"'!G:G)+SUMIF('YR3 Budget "Master"'!B:B,'Budget Summary'!B:B,'YR3 Budget "Master"'!H:H)</f>
        <v>18900</v>
      </c>
      <c r="X36" s="307"/>
      <c r="Y36" s="381">
        <f>SUMIF('YR3 Budget "Master"'!B:B,'Budget Summary'!B:B,'YR3 Budget "Master"'!I:I)+SUMIF('YR3 Budget "Master"'!B:B,'Budget Summary'!B:B,'YR3 Budget "Master"'!J:J)+SUMIF('YR3 Budget "Master"'!B:B,'Budget Summary'!B:B,'YR3 Budget "Master"'!K:K)</f>
        <v>45750</v>
      </c>
      <c r="Z36" s="307"/>
      <c r="AA36" s="381">
        <f>SUMIF('YR3 Budget "Master"'!B:B,'Budget Summary'!B:B,'YR3 Budget "Master"'!L:L)+SUMIF('YR3 Budget "Master"'!B:B,'Budget Summary'!B:B,'YR3 Budget "Master"'!M:M)+SUMIF('YR3 Budget "Master"'!B:B,'Budget Summary'!B:B,'YR3 Budget "Master"'!N:N)</f>
        <v>37400</v>
      </c>
      <c r="AB36" s="307"/>
      <c r="AC36" s="381">
        <f>SUMIF('YR3 Budget "Master"'!B:B,'Budget Summary'!B:B,'YR3 Budget "Master"'!O:O)+SUMIF('YR3 Budget "Master"'!B:B,'Budget Summary'!B:B,'YR3 Budget "Master"'!P:P)+SUMIF('YR3 Budget "Master"'!B:B,'Budget Summary'!B:B,'YR3 Budget "Master"'!Q:Q)</f>
        <v>11700</v>
      </c>
      <c r="AD36" s="307"/>
      <c r="AE36" s="381">
        <f t="shared" si="10"/>
        <v>113750</v>
      </c>
      <c r="AF36" s="309">
        <f>SUMIF('YR4 Budget revision 310315'!B:B,'Budget Summary'!B:B,'YR4 Budget revision 310315'!F:F)+SUMIF('YR4 Budget revision 310315'!B:B,'Budget Summary'!B:B,'YR4 Budget revision 310315'!G:G)+SUMIF('YR4 Budget revision 310315'!B:B,'Budget Summary'!B:B,'YR4 Budget revision 310315'!H:H)</f>
        <v>22900</v>
      </c>
      <c r="AG36" s="307"/>
      <c r="AH36" s="309">
        <f>SUMIF('YR4 Budget revision 310315'!B:B,'Budget Summary'!B:B,'YR4 Budget revision 310315'!I:I)+SUMIF('YR4 Budget revision 310315'!B:B,'Budget Summary'!B:B,'YR4 Budget revision 310315'!J:J)+SUMIF('YR4 Budget revision 310315'!B:B,'Budget Summary'!B:B,'YR4 Budget revision 310315'!K:K)</f>
        <v>34500</v>
      </c>
      <c r="AI36" s="307"/>
      <c r="AJ36" s="309">
        <f>SUMIF('YR4 Budget revision 310315'!B:B,'Budget Summary'!B:B,'YR4 Budget revision 310315'!L:L)+SUMIF('YR4 Budget revision 310315'!B:B,'Budget Summary'!B:B,'YR4 Budget revision 310315'!M:M)+SUMIF('YR4 Budget revision 310315'!B:B,'Budget Summary'!B:B,'YR4 Budget revision 310315'!N:N)</f>
        <v>30800</v>
      </c>
      <c r="AK36" s="307"/>
      <c r="AL36" s="307">
        <f>SUMIF('YR4 Budget revision 310315'!B:B,'Budget Summary'!B:B,'YR4 Budget revision 310315'!O:O)+SUMIF('YR4 Budget revision 310315'!B:B,'Budget Summary'!B:B,'YR4 Budget revision 310315'!P:P)+SUMIF('YR4 Budget revision 310315'!B:B,'Budget Summary'!B:B,'YR4 Budget revision 310315'!Q:Q)</f>
        <v>12400</v>
      </c>
      <c r="AM36" s="307"/>
      <c r="AN36" s="308">
        <f>SUMIF('YR4 Budget revision 310315'!B:B,'Budget Summary'!B:B,'YR4 Budget revision 310315'!E:E)</f>
        <v>100600</v>
      </c>
      <c r="AO36" s="308">
        <f>SUMIF('YR5 PIVOT'!D:D,'Budget Summary'!B:B,'YR5 PIVOT'!E:E)</f>
        <v>118200</v>
      </c>
      <c r="AP36" s="28">
        <f t="shared" si="11"/>
        <v>580136.44</v>
      </c>
      <c r="AQ36" s="167">
        <f t="shared" si="12"/>
        <v>0.07963093552021346</v>
      </c>
    </row>
    <row r="37" spans="1:43" ht="15.75" customHeight="1">
      <c r="A37" s="21">
        <v>3</v>
      </c>
      <c r="B37" s="24" t="s">
        <v>44</v>
      </c>
      <c r="C37" s="780" t="s">
        <v>859</v>
      </c>
      <c r="D37" s="781"/>
      <c r="E37" s="26"/>
      <c r="F37" s="26"/>
      <c r="G37" s="26"/>
      <c r="H37" s="26"/>
      <c r="I37" s="307">
        <f>SUMIF('YR1 actual expenses'!D:D,'Budget Summary'!B:B,'YR1 actual expenses'!E:E)</f>
        <v>274.63</v>
      </c>
      <c r="J37" s="308">
        <f>SUMIF('YR2 Pivot by quarters'!G:G,'Budget Summary'!B:B,'YR2 Pivot by quarters'!H:H)</f>
        <v>2512.5</v>
      </c>
      <c r="K37" s="321">
        <f>SUMIF('Budget YR2-4 DC+Hm'!C:C,'Budget Summary'!B:B,'Budget YR2-4 DC+Hm'!M:M)</f>
        <v>0</v>
      </c>
      <c r="L37" s="308">
        <f>SUMIF('YR2 Pivot by quarters'!G:G,'Budget Summary'!B:B,'YR2 Pivot by quarters'!I:I)</f>
        <v>2512.5</v>
      </c>
      <c r="M37" s="321">
        <f>SUMIF('Budget YR2-4 DC+Hm'!C:C,'Budget Summary'!B:B,'Budget YR2-4 DC+Hm'!O:O)</f>
        <v>0</v>
      </c>
      <c r="N37" s="308">
        <f>SUMIF('YR2 Pivot by quarters'!G:G,'Budget Summary'!B:B,'YR2 Pivot by quarters'!J:J)</f>
        <v>2512.5</v>
      </c>
      <c r="O37" s="321">
        <f>SUMIF('Budget YR2-4 DC+Hm'!C:C,'Budget Summary'!B:B,'Budget YR2-4 DC+Hm'!Q:Q)</f>
        <v>0</v>
      </c>
      <c r="P37" s="308">
        <f>SUMIF('YR2 Pivot by quarters'!G:G,'Budget Summary'!B:B,'YR2 Pivot by quarters'!K:K)</f>
        <v>2512.5</v>
      </c>
      <c r="Q37" s="321">
        <f>SUMIF('Budget YR2-4 DC+Hm'!C:C,'Budget Summary'!B:B,'Budget YR2-4 DC+Hm'!S:S)</f>
        <v>0</v>
      </c>
      <c r="R37" s="317">
        <f t="shared" si="13"/>
        <v>10050</v>
      </c>
      <c r="S37" s="309">
        <f t="shared" si="9"/>
        <v>10324.63</v>
      </c>
      <c r="T37" s="167">
        <f t="shared" si="14"/>
        <v>0.003673920656468956</v>
      </c>
      <c r="U37" s="328">
        <f>I37+K37+M37+O37+Q37</f>
        <v>274.63</v>
      </c>
      <c r="V37" s="325">
        <f t="shared" si="15"/>
        <v>0.026599500417932655</v>
      </c>
      <c r="W37" s="381">
        <f>SUMIF('YR3 Budget "Master"'!B:B,'Budget Summary'!B:B,'YR3 Budget "Master"'!F:F)+SUMIF('YR3 Budget "Master"'!B:B,'Budget Summary'!B:B,'YR3 Budget "Master"'!G:G)+SUMIF('YR3 Budget "Master"'!B:B,'Budget Summary'!B:B,'YR3 Budget "Master"'!H:H)</f>
        <v>0</v>
      </c>
      <c r="X37" s="307"/>
      <c r="Y37" s="309">
        <f>SUMIF('YR3 Budget "Master"'!B:B,'Budget Summary'!B:B,'YR3 Budget "Master"'!I:I)+SUMIF('YR3 Budget "Master"'!B:B,'Budget Summary'!B:B,'YR3 Budget "Master"'!J:J)+SUMIF('YR3 Budget "Master"'!B:B,'Budget Summary'!B:B,'YR3 Budget "Master"'!K:K)</f>
        <v>0</v>
      </c>
      <c r="Z37" s="307"/>
      <c r="AA37" s="381">
        <f>SUMIF('YR3 Budget "Master"'!B:B,'Budget Summary'!B:B,'YR3 Budget "Master"'!L:L)+SUMIF('YR3 Budget "Master"'!B:B,'Budget Summary'!B:B,'YR3 Budget "Master"'!M:M)+SUMIF('YR3 Budget "Master"'!B:B,'Budget Summary'!B:B,'YR3 Budget "Master"'!N:N)</f>
        <v>0</v>
      </c>
      <c r="AB37" s="307"/>
      <c r="AC37" s="381">
        <f>SUMIF('YR3 Budget "Master"'!B:B,'Budget Summary'!B:B,'YR3 Budget "Master"'!O:O)+SUMIF('YR3 Budget "Master"'!B:B,'Budget Summary'!B:B,'YR3 Budget "Master"'!P:P)+SUMIF('YR3 Budget "Master"'!B:B,'Budget Summary'!B:B,'YR3 Budget "Master"'!Q:Q)</f>
        <v>0</v>
      </c>
      <c r="AD37" s="307"/>
      <c r="AE37" s="381">
        <f t="shared" si="10"/>
        <v>0</v>
      </c>
      <c r="AF37" s="309">
        <f>SUMIF('YR4 Budget revision 310315'!B:B,'Budget Summary'!B:B,'YR4 Budget revision 310315'!F:F)+SUMIF('YR4 Budget revision 310315'!B:B,'Budget Summary'!B:B,'YR4 Budget revision 310315'!G:G)+SUMIF('YR4 Budget revision 310315'!B:B,'Budget Summary'!B:B,'YR4 Budget revision 310315'!H:H)</f>
        <v>0</v>
      </c>
      <c r="AG37" s="307"/>
      <c r="AH37" s="309">
        <f>SUMIF('YR4 Budget revision 310315'!B:B,'Budget Summary'!B:B,'YR4 Budget revision 310315'!I:I)+SUMIF('YR4 Budget revision 310315'!B:B,'Budget Summary'!B:B,'YR4 Budget revision 310315'!J:J)+SUMIF('YR4 Budget revision 310315'!B:B,'Budget Summary'!B:B,'YR4 Budget revision 310315'!K:K)</f>
        <v>0</v>
      </c>
      <c r="AI37" s="307"/>
      <c r="AJ37" s="309">
        <f>SUMIF('YR4 Budget revision 310315'!B:B,'Budget Summary'!B:B,'YR4 Budget revision 310315'!L:L)+SUMIF('YR4 Budget revision 310315'!B:B,'Budget Summary'!B:B,'YR4 Budget revision 310315'!M:M)+SUMIF('YR4 Budget revision 310315'!B:B,'Budget Summary'!B:B,'YR4 Budget revision 310315'!N:N)</f>
        <v>0</v>
      </c>
      <c r="AK37" s="307"/>
      <c r="AL37" s="307">
        <f>SUMIF('YR4 Budget revision 310315'!B:B,'Budget Summary'!B:B,'YR4 Budget revision 310315'!O:O)+SUMIF('YR4 Budget revision 310315'!B:B,'Budget Summary'!B:B,'YR4 Budget revision 310315'!P:P)+SUMIF('YR4 Budget revision 310315'!B:B,'Budget Summary'!B:B,'YR4 Budget revision 310315'!Q:Q)</f>
        <v>0</v>
      </c>
      <c r="AM37" s="307"/>
      <c r="AN37" s="308">
        <f>SUMIF('YR4 Budget revision 310315'!B:B,'Budget Summary'!B:B,'YR4 Budget revision 310315'!E:E)</f>
        <v>0</v>
      </c>
      <c r="AO37" s="308">
        <f>SUMIF('YR5 PIVOT'!D:D,'Budget Summary'!B:B,'YR5 PIVOT'!E:E)</f>
        <v>2961.6000000000004</v>
      </c>
      <c r="AP37" s="28">
        <f t="shared" si="11"/>
        <v>3236.2300000000005</v>
      </c>
      <c r="AQ37" s="167">
        <f t="shared" si="12"/>
        <v>0.0004442127828732504</v>
      </c>
    </row>
    <row r="38" spans="1:43" ht="15.75" customHeight="1">
      <c r="A38" s="21">
        <v>4</v>
      </c>
      <c r="B38" s="216" t="s">
        <v>855</v>
      </c>
      <c r="C38" s="780" t="s">
        <v>860</v>
      </c>
      <c r="D38" s="781"/>
      <c r="E38" s="26"/>
      <c r="F38" s="26"/>
      <c r="G38" s="26"/>
      <c r="H38" s="26"/>
      <c r="I38" s="307">
        <f>SUMIF('YR1 actual expenses'!D:D,'Budget Summary'!B:B,'YR1 actual expenses'!E:E)</f>
        <v>4522.06</v>
      </c>
      <c r="J38" s="308">
        <f>SUMIF('YR2 Pivot by quarters'!G:G,'Budget Summary'!B:B,'YR2 Pivot by quarters'!H:H)</f>
        <v>12602.244999999999</v>
      </c>
      <c r="K38" s="321">
        <f>SUMIF('Budget YR2-4 DC+Hm'!C:C,'Budget Summary'!B:B,'Budget YR2-4 DC+Hm'!M:M)</f>
        <v>3489.1</v>
      </c>
      <c r="L38" s="308">
        <f>SUMIF('YR2 Pivot by quarters'!G:G,'Budget Summary'!B:B,'YR2 Pivot by quarters'!I:I)</f>
        <v>59602.244999999995</v>
      </c>
      <c r="M38" s="321">
        <f>SUMIF('Budget YR2-4 DC+Hm'!C:C,'Budget Summary'!B:B,'Budget YR2-4 DC+Hm'!O:O)</f>
        <v>1037.41</v>
      </c>
      <c r="N38" s="308">
        <f>SUMIF('YR2 Pivot by quarters'!G:G,'Budget Summary'!B:B,'YR2 Pivot by quarters'!J:J)</f>
        <v>20952.245</v>
      </c>
      <c r="O38" s="321">
        <f>SUMIF('Budget YR2-4 DC+Hm'!C:C,'Budget Summary'!B:B,'Budget YR2-4 DC+Hm'!Q:Q)</f>
        <v>11332.32</v>
      </c>
      <c r="P38" s="308">
        <f>SUMIF('YR2 Pivot by quarters'!G:G,'Budget Summary'!B:B,'YR2 Pivot by quarters'!K:K)</f>
        <v>7602.245</v>
      </c>
      <c r="Q38" s="321">
        <f>SUMIF('Budget YR2-4 DC+Hm'!C:C,'Budget Summary'!B:B,'Budget YR2-4 DC+Hm'!S:S)</f>
        <v>12949</v>
      </c>
      <c r="R38" s="317">
        <f t="shared" si="13"/>
        <v>100758.97999999998</v>
      </c>
      <c r="S38" s="309">
        <f t="shared" si="9"/>
        <v>105281.03999999998</v>
      </c>
      <c r="T38" s="167">
        <f t="shared" si="14"/>
        <v>0.03746324929712099</v>
      </c>
      <c r="U38" s="328">
        <f aca="true" t="shared" si="16" ref="U38:U47">I38+K38+M38+O38+Q38</f>
        <v>33329.89</v>
      </c>
      <c r="V38" s="325">
        <f t="shared" si="15"/>
        <v>0.31658017435997976</v>
      </c>
      <c r="W38" s="381">
        <f>SUMIF('YR3 Budget "Master"'!B:B,'Budget Summary'!B:B,'YR3 Budget "Master"'!F:F)+SUMIF('YR3 Budget "Master"'!B:B,'Budget Summary'!B:B,'YR3 Budget "Master"'!G:G)+SUMIF('YR3 Budget "Master"'!B:B,'Budget Summary'!B:B,'YR3 Budget "Master"'!H:H)</f>
        <v>7600</v>
      </c>
      <c r="X38" s="307"/>
      <c r="Y38" s="309">
        <f>SUMIF('YR3 Budget "Master"'!B:B,'Budget Summary'!B:B,'YR3 Budget "Master"'!I:I)+SUMIF('YR3 Budget "Master"'!B:B,'Budget Summary'!B:B,'YR3 Budget "Master"'!J:J)+SUMIF('YR3 Budget "Master"'!B:B,'Budget Summary'!B:B,'YR3 Budget "Master"'!K:K)</f>
        <v>11400</v>
      </c>
      <c r="Z38" s="307"/>
      <c r="AA38" s="381">
        <f>SUMIF('YR3 Budget "Master"'!B:B,'Budget Summary'!B:B,'YR3 Budget "Master"'!L:L)+SUMIF('YR3 Budget "Master"'!B:B,'Budget Summary'!B:B,'YR3 Budget "Master"'!M:M)+SUMIF('YR3 Budget "Master"'!B:B,'Budget Summary'!B:B,'YR3 Budget "Master"'!N:N)</f>
        <v>11400</v>
      </c>
      <c r="AB38" s="307"/>
      <c r="AC38" s="381">
        <f>SUMIF('YR3 Budget "Master"'!B:B,'Budget Summary'!B:B,'YR3 Budget "Master"'!O:O)+SUMIF('YR3 Budget "Master"'!B:B,'Budget Summary'!B:B,'YR3 Budget "Master"'!P:P)+SUMIF('YR3 Budget "Master"'!B:B,'Budget Summary'!B:B,'YR3 Budget "Master"'!Q:Q)</f>
        <v>11400</v>
      </c>
      <c r="AD38" s="307"/>
      <c r="AE38" s="381">
        <f t="shared" si="10"/>
        <v>41800</v>
      </c>
      <c r="AF38" s="309">
        <f>SUMIF('YR4 Budget revision 310315'!B:B,'Budget Summary'!B:B,'YR4 Budget revision 310315'!F:F)+SUMIF('YR4 Budget revision 310315'!B:B,'Budget Summary'!B:B,'YR4 Budget revision 310315'!G:G)+SUMIF('YR4 Budget revision 310315'!B:B,'Budget Summary'!B:B,'YR4 Budget revision 310315'!H:H)</f>
        <v>17400</v>
      </c>
      <c r="AG38" s="307"/>
      <c r="AH38" s="309">
        <f>SUMIF('YR4 Budget revision 310315'!B:B,'Budget Summary'!B:B,'YR4 Budget revision 310315'!I:I)+SUMIF('YR4 Budget revision 310315'!B:B,'Budget Summary'!B:B,'YR4 Budget revision 310315'!J:J)+SUMIF('YR4 Budget revision 310315'!B:B,'Budget Summary'!B:B,'YR4 Budget revision 310315'!K:K)</f>
        <v>23400</v>
      </c>
      <c r="AI38" s="307"/>
      <c r="AJ38" s="309">
        <f>SUMIF('YR4 Budget revision 310315'!B:B,'Budget Summary'!B:B,'YR4 Budget revision 310315'!L:L)+SUMIF('YR4 Budget revision 310315'!B:B,'Budget Summary'!B:B,'YR4 Budget revision 310315'!M:M)+SUMIF('YR4 Budget revision 310315'!B:B,'Budget Summary'!B:B,'YR4 Budget revision 310315'!N:N)</f>
        <v>23400</v>
      </c>
      <c r="AK38" s="307"/>
      <c r="AL38" s="307">
        <f>SUMIF('YR4 Budget revision 310315'!B:B,'Budget Summary'!B:B,'YR4 Budget revision 310315'!O:O)+SUMIF('YR4 Budget revision 310315'!B:B,'Budget Summary'!B:B,'YR4 Budget revision 310315'!P:P)+SUMIF('YR4 Budget revision 310315'!B:B,'Budget Summary'!B:B,'YR4 Budget revision 310315'!Q:Q)</f>
        <v>23400</v>
      </c>
      <c r="AM38" s="307"/>
      <c r="AN38" s="308">
        <f>SUMIF('YR4 Budget revision 310315'!B:B,'Budget Summary'!B:B,'YR4 Budget revision 310315'!E:E)</f>
        <v>87600</v>
      </c>
      <c r="AO38" s="308">
        <f>SUMIF('YR5 PIVOT'!D:D,'Budget Summary'!B:B,'YR5 PIVOT'!E:E)+6890</f>
        <v>19290</v>
      </c>
      <c r="AP38" s="28">
        <f t="shared" si="11"/>
        <v>182019.89</v>
      </c>
      <c r="AQ38" s="167">
        <f t="shared" si="12"/>
        <v>0.02498449179297606</v>
      </c>
    </row>
    <row r="39" spans="1:43" ht="15.75" customHeight="1">
      <c r="A39" s="21">
        <v>5</v>
      </c>
      <c r="B39" s="24" t="s">
        <v>856</v>
      </c>
      <c r="C39" s="772" t="s">
        <v>861</v>
      </c>
      <c r="D39" s="773"/>
      <c r="E39" s="26"/>
      <c r="F39" s="26"/>
      <c r="G39" s="26"/>
      <c r="H39" s="26"/>
      <c r="I39" s="307">
        <f>SUMIF('YR1 actual expenses'!D:D,'Budget Summary'!B:B,'YR1 actual expenses'!E:E)</f>
        <v>167766.17999999996</v>
      </c>
      <c r="J39" s="308">
        <f>SUMIF('YR2 Pivot by quarters'!G:G,'Budget Summary'!B:B,'YR2 Pivot by quarters'!H:H)</f>
        <v>86286.40999999999</v>
      </c>
      <c r="K39" s="321">
        <f>SUMIF('Budget YR2-4 DC+Hm'!C:C,'Budget Summary'!B:B,'Budget YR2-4 DC+Hm'!M:M)</f>
        <v>74833.91</v>
      </c>
      <c r="L39" s="308">
        <f>SUMIF('YR2 Pivot by quarters'!G:G,'Budget Summary'!B:B,'YR2 Pivot by quarters'!I:I)</f>
        <v>0</v>
      </c>
      <c r="M39" s="321">
        <f>SUMIF('Budget YR2-4 DC+Hm'!C:C,'Budget Summary'!B:B,'Budget YR2-4 DC+Hm'!O:O)</f>
        <v>55646.35</v>
      </c>
      <c r="N39" s="308">
        <f>SUMIF('YR2 Pivot by quarters'!G:G,'Budget Summary'!B:B,'YR2 Pivot by quarters'!J:J)</f>
        <v>0</v>
      </c>
      <c r="O39" s="321">
        <f>SUMIF('Budget YR2-4 DC+Hm'!C:C,'Budget Summary'!B:B,'Budget YR2-4 DC+Hm'!Q:Q)</f>
        <v>-7502.5599999999995</v>
      </c>
      <c r="P39" s="308">
        <f>SUMIF('YR2 Pivot by quarters'!G:G,'Budget Summary'!B:B,'YR2 Pivot by quarters'!K:K)</f>
        <v>0</v>
      </c>
      <c r="Q39" s="321">
        <f>SUMIF('Budget YR2-4 DC+Hm'!C:C,'Budget Summary'!B:B,'Budget YR2-4 DC+Hm'!S:S)</f>
        <v>302.34000000000003</v>
      </c>
      <c r="R39" s="317">
        <f t="shared" si="13"/>
        <v>86286.40999999999</v>
      </c>
      <c r="S39" s="309">
        <f t="shared" si="9"/>
        <v>254052.58999999997</v>
      </c>
      <c r="T39" s="167">
        <f t="shared" si="14"/>
        <v>0.09040217985830372</v>
      </c>
      <c r="U39" s="328">
        <f t="shared" si="16"/>
        <v>291046.22</v>
      </c>
      <c r="V39" s="325">
        <f t="shared" si="15"/>
        <v>1.1456140636078538</v>
      </c>
      <c r="W39" s="381">
        <f>SUMIF('YR3 Budget "Master"'!B:B,'Budget Summary'!B:B,'YR3 Budget "Master"'!F:F)+SUMIF('YR3 Budget "Master"'!B:B,'Budget Summary'!B:B,'YR3 Budget "Master"'!G:G)+SUMIF('YR3 Budget "Master"'!B:B,'Budget Summary'!B:B,'YR3 Budget "Master"'!H:H)</f>
        <v>0</v>
      </c>
      <c r="X39" s="307"/>
      <c r="Y39" s="309">
        <f>SUMIF('YR3 Budget "Master"'!B:B,'Budget Summary'!B:B,'YR3 Budget "Master"'!I:I)+SUMIF('YR3 Budget "Master"'!B:B,'Budget Summary'!B:B,'YR3 Budget "Master"'!J:J)+SUMIF('YR3 Budget "Master"'!B:B,'Budget Summary'!B:B,'YR3 Budget "Master"'!K:K)</f>
        <v>0</v>
      </c>
      <c r="Z39" s="307"/>
      <c r="AA39" s="381">
        <f>SUMIF('YR3 Budget "Master"'!B:B,'Budget Summary'!B:B,'YR3 Budget "Master"'!L:L)+SUMIF('YR3 Budget "Master"'!B:B,'Budget Summary'!B:B,'YR3 Budget "Master"'!M:M)+SUMIF('YR3 Budget "Master"'!B:B,'Budget Summary'!B:B,'YR3 Budget "Master"'!N:N)</f>
        <v>0</v>
      </c>
      <c r="AB39" s="307"/>
      <c r="AC39" s="381">
        <f>SUMIF('YR3 Budget "Master"'!B:B,'Budget Summary'!B:B,'YR3 Budget "Master"'!O:O)+SUMIF('YR3 Budget "Master"'!B:B,'Budget Summary'!B:B,'YR3 Budget "Master"'!P:P)+SUMIF('YR3 Budget "Master"'!B:B,'Budget Summary'!B:B,'YR3 Budget "Master"'!Q:Q)</f>
        <v>0</v>
      </c>
      <c r="AD39" s="307"/>
      <c r="AE39" s="381">
        <f t="shared" si="10"/>
        <v>0</v>
      </c>
      <c r="AF39" s="309">
        <f>SUMIF('YR4 Budget revision 310315'!B:B,'Budget Summary'!B:B,'YR4 Budget revision 310315'!F:F)+SUMIF('YR4 Budget revision 310315'!B:B,'Budget Summary'!B:B,'YR4 Budget revision 310315'!G:G)+SUMIF('YR4 Budget revision 310315'!B:B,'Budget Summary'!B:B,'YR4 Budget revision 310315'!H:H)</f>
        <v>0</v>
      </c>
      <c r="AG39" s="307"/>
      <c r="AH39" s="309">
        <f>SUMIF('YR4 Budget revision 310315'!B:B,'Budget Summary'!B:B,'YR4 Budget revision 310315'!I:I)+SUMIF('YR4 Budget revision 310315'!B:B,'Budget Summary'!B:B,'YR4 Budget revision 310315'!J:J)+SUMIF('YR4 Budget revision 310315'!B:B,'Budget Summary'!B:B,'YR4 Budget revision 310315'!K:K)</f>
        <v>0</v>
      </c>
      <c r="AI39" s="307"/>
      <c r="AJ39" s="309">
        <f>SUMIF('YR4 Budget revision 310315'!B:B,'Budget Summary'!B:B,'YR4 Budget revision 310315'!L:L)+SUMIF('YR4 Budget revision 310315'!B:B,'Budget Summary'!B:B,'YR4 Budget revision 310315'!M:M)+SUMIF('YR4 Budget revision 310315'!B:B,'Budget Summary'!B:B,'YR4 Budget revision 310315'!N:N)</f>
        <v>0</v>
      </c>
      <c r="AK39" s="307"/>
      <c r="AL39" s="307">
        <f>SUMIF('YR4 Budget revision 310315'!B:B,'Budget Summary'!B:B,'YR4 Budget revision 310315'!O:O)+SUMIF('YR4 Budget revision 310315'!B:B,'Budget Summary'!B:B,'YR4 Budget revision 310315'!P:P)+SUMIF('YR4 Budget revision 310315'!B:B,'Budget Summary'!B:B,'YR4 Budget revision 310315'!Q:Q)</f>
        <v>0</v>
      </c>
      <c r="AM39" s="307"/>
      <c r="AN39" s="308">
        <f>SUMIF('YR4 Budget revision 310315'!B:B,'Budget Summary'!B:B,'YR4 Budget revision 310315'!E:E)</f>
        <v>0</v>
      </c>
      <c r="AO39" s="308">
        <f>SUMIF('YR5 PIVOT'!D:D,'Budget Summary'!B:B,'YR5 PIVOT'!E:E)</f>
        <v>0</v>
      </c>
      <c r="AP39" s="28">
        <f t="shared" si="11"/>
        <v>291046.22</v>
      </c>
      <c r="AQ39" s="167">
        <f t="shared" si="12"/>
        <v>0.039949710413332874</v>
      </c>
    </row>
    <row r="40" spans="1:43" ht="15.75" customHeight="1">
      <c r="A40" s="21">
        <v>6</v>
      </c>
      <c r="B40" s="24" t="s">
        <v>46</v>
      </c>
      <c r="C40" s="772" t="s">
        <v>862</v>
      </c>
      <c r="D40" s="773"/>
      <c r="E40" s="26"/>
      <c r="F40" s="26"/>
      <c r="G40" s="26"/>
      <c r="H40" s="26"/>
      <c r="I40" s="307">
        <f>SUMIF('YR1 actual expenses'!D:D,'Budget Summary'!B:B,'YR1 actual expenses'!E:E)</f>
        <v>0</v>
      </c>
      <c r="J40" s="308">
        <f>SUMIF('YR2 Pivot by quarters'!G:G,'Budget Summary'!B:B,'YR2 Pivot by quarters'!H:H)</f>
        <v>26969.21</v>
      </c>
      <c r="K40" s="321">
        <f>SUMIF('Budget YR2-4 DC+Hm'!C:C,'Budget Summary'!B:B,'Budget YR2-4 DC+Hm'!M:M)</f>
        <v>403.06</v>
      </c>
      <c r="L40" s="308">
        <f>SUMIF('YR2 Pivot by quarters'!G:G,'Budget Summary'!B:B,'YR2 Pivot by quarters'!I:I)</f>
        <v>19891.21</v>
      </c>
      <c r="M40" s="321">
        <f>SUMIF('Budget YR2-4 DC+Hm'!C:C,'Budget Summary'!B:B,'Budget YR2-4 DC+Hm'!O:O)</f>
        <v>2811.9300000000003</v>
      </c>
      <c r="N40" s="308">
        <f>SUMIF('YR2 Pivot by quarters'!G:G,'Budget Summary'!B:B,'YR2 Pivot by quarters'!J:J)</f>
        <v>19891.21</v>
      </c>
      <c r="O40" s="321">
        <f>SUMIF('Budget YR2-4 DC+Hm'!C:C,'Budget Summary'!B:B,'Budget YR2-4 DC+Hm'!Q:Q)</f>
        <v>7670.42</v>
      </c>
      <c r="P40" s="308">
        <f>SUMIF('YR2 Pivot by quarters'!G:G,'Budget Summary'!B:B,'YR2 Pivot by quarters'!K:K)</f>
        <v>19891.21</v>
      </c>
      <c r="Q40" s="321">
        <f>SUMIF('Budget YR2-4 DC+Hm'!C:C,'Budget Summary'!B:B,'Budget YR2-4 DC+Hm'!S:S)</f>
        <v>8917.460000000001</v>
      </c>
      <c r="R40" s="317">
        <f t="shared" si="13"/>
        <v>86642.84</v>
      </c>
      <c r="S40" s="309">
        <f t="shared" si="9"/>
        <v>86642.84</v>
      </c>
      <c r="T40" s="167">
        <f t="shared" si="14"/>
        <v>0.030831024415512682</v>
      </c>
      <c r="U40" s="328">
        <f t="shared" si="16"/>
        <v>19802.870000000003</v>
      </c>
      <c r="V40" s="325">
        <f t="shared" si="15"/>
        <v>0.2285574895744415</v>
      </c>
      <c r="W40" s="381">
        <f>SUMIF('YR3 Budget "Master"'!B:B,'Budget Summary'!B:B,'YR3 Budget "Master"'!F:F)+SUMIF('YR3 Budget "Master"'!B:B,'Budget Summary'!B:B,'YR3 Budget "Master"'!G:G)+SUMIF('YR3 Budget "Master"'!B:B,'Budget Summary'!B:B,'YR3 Budget "Master"'!H:H)</f>
        <v>0</v>
      </c>
      <c r="X40" s="307"/>
      <c r="Y40" s="309">
        <f>SUMIF('YR3 Budget "Master"'!B:B,'Budget Summary'!B:B,'YR3 Budget "Master"'!I:I)+SUMIF('YR3 Budget "Master"'!B:B,'Budget Summary'!B:B,'YR3 Budget "Master"'!J:J)+SUMIF('YR3 Budget "Master"'!B:B,'Budget Summary'!B:B,'YR3 Budget "Master"'!K:K)</f>
        <v>0</v>
      </c>
      <c r="Z40" s="307"/>
      <c r="AA40" s="381">
        <f>SUMIF('YR3 Budget "Master"'!B:B,'Budget Summary'!B:B,'YR3 Budget "Master"'!L:L)+SUMIF('YR3 Budget "Master"'!B:B,'Budget Summary'!B:B,'YR3 Budget "Master"'!M:M)+SUMIF('YR3 Budget "Master"'!B:B,'Budget Summary'!B:B,'YR3 Budget "Master"'!N:N)</f>
        <v>0</v>
      </c>
      <c r="AB40" s="307"/>
      <c r="AC40" s="381">
        <f>SUMIF('YR3 Budget "Master"'!B:B,'Budget Summary'!B:B,'YR3 Budget "Master"'!O:O)+SUMIF('YR3 Budget "Master"'!B:B,'Budget Summary'!B:B,'YR3 Budget "Master"'!P:P)+SUMIF('YR3 Budget "Master"'!B:B,'Budget Summary'!B:B,'YR3 Budget "Master"'!Q:Q)</f>
        <v>0</v>
      </c>
      <c r="AD40" s="307"/>
      <c r="AE40" s="381">
        <f t="shared" si="10"/>
        <v>0</v>
      </c>
      <c r="AF40" s="309">
        <f>SUMIF('YR4 Budget revision 310315'!B:B,'Budget Summary'!B:B,'YR4 Budget revision 310315'!F:F)+SUMIF('YR4 Budget revision 310315'!B:B,'Budget Summary'!B:B,'YR4 Budget revision 310315'!G:G)+SUMIF('YR4 Budget revision 310315'!B:B,'Budget Summary'!B:B,'YR4 Budget revision 310315'!H:H)</f>
        <v>0</v>
      </c>
      <c r="AG40" s="307"/>
      <c r="AH40" s="309">
        <f>SUMIF('YR4 Budget revision 310315'!B:B,'Budget Summary'!B:B,'YR4 Budget revision 310315'!I:I)+SUMIF('YR4 Budget revision 310315'!B:B,'Budget Summary'!B:B,'YR4 Budget revision 310315'!J:J)+SUMIF('YR4 Budget revision 310315'!B:B,'Budget Summary'!B:B,'YR4 Budget revision 310315'!K:K)</f>
        <v>0</v>
      </c>
      <c r="AI40" s="307"/>
      <c r="AJ40" s="309">
        <f>SUMIF('YR4 Budget revision 310315'!B:B,'Budget Summary'!B:B,'YR4 Budget revision 310315'!L:L)+SUMIF('YR4 Budget revision 310315'!B:B,'Budget Summary'!B:B,'YR4 Budget revision 310315'!M:M)+SUMIF('YR4 Budget revision 310315'!B:B,'Budget Summary'!B:B,'YR4 Budget revision 310315'!N:N)</f>
        <v>0</v>
      </c>
      <c r="AK40" s="307"/>
      <c r="AL40" s="307">
        <f>SUMIF('YR4 Budget revision 310315'!B:B,'Budget Summary'!B:B,'YR4 Budget revision 310315'!O:O)+SUMIF('YR4 Budget revision 310315'!B:B,'Budget Summary'!B:B,'YR4 Budget revision 310315'!P:P)+SUMIF('YR4 Budget revision 310315'!B:B,'Budget Summary'!B:B,'YR4 Budget revision 310315'!Q:Q)</f>
        <v>0</v>
      </c>
      <c r="AM40" s="307"/>
      <c r="AN40" s="308">
        <f>SUMIF('YR4 Budget revision 310315'!B:B,'Budget Summary'!B:B,'YR4 Budget revision 310315'!E:E)</f>
        <v>0</v>
      </c>
      <c r="AO40" s="308">
        <f>SUMIF('YR5 PIVOT'!D:D,'Budget Summary'!B:B,'YR5 PIVOT'!E:E)</f>
        <v>0</v>
      </c>
      <c r="AP40" s="28">
        <f t="shared" si="11"/>
        <v>19802.870000000003</v>
      </c>
      <c r="AQ40" s="167">
        <f t="shared" si="12"/>
        <v>0.0027181899900740073</v>
      </c>
    </row>
    <row r="41" spans="1:44" s="1" customFormat="1" ht="15.75" customHeight="1" hidden="1">
      <c r="A41" s="21">
        <v>8</v>
      </c>
      <c r="B41" s="159" t="s">
        <v>47</v>
      </c>
      <c r="C41" s="772"/>
      <c r="D41" s="773"/>
      <c r="E41" s="26"/>
      <c r="F41" s="26"/>
      <c r="G41" s="26"/>
      <c r="H41" s="26"/>
      <c r="I41" s="307">
        <f>SUMIF('YR1 actual expenses'!D:D,'Budget Summary'!B:B,'YR1 actual expenses'!E:E)</f>
        <v>0</v>
      </c>
      <c r="J41" s="308">
        <f>SUMIF('YR2 Pivot by quarters'!G:G,'Budget Summary'!B:B,'YR2 Pivot by quarters'!H:H)</f>
        <v>0</v>
      </c>
      <c r="K41" s="321">
        <f>SUMIF('Budget YR2-4 DC+Hm'!C:C,'Budget Summary'!B:B,'Budget YR2-4 DC+Hm'!M:M)</f>
        <v>0</v>
      </c>
      <c r="L41" s="308">
        <f>SUMIF('YR2 Pivot by quarters'!G:G,'Budget Summary'!B:B,'YR2 Pivot by quarters'!I:I)</f>
        <v>0</v>
      </c>
      <c r="M41" s="321">
        <f>SUMIF('Budget YR2-4 DC+Hm'!C:C,'Budget Summary'!B:B,'Budget YR2-4 DC+Hm'!O:O)</f>
        <v>0</v>
      </c>
      <c r="N41" s="308">
        <f>SUMIF('YR2 Pivot by quarters'!G:G,'Budget Summary'!B:B,'YR2 Pivot by quarters'!J:J)</f>
        <v>0</v>
      </c>
      <c r="O41" s="321">
        <f>SUMIF('Budget YR2-4 DC+Hm'!C:C,'Budget Summary'!B:B,'Budget YR2-4 DC+Hm'!Q:Q)</f>
        <v>0</v>
      </c>
      <c r="P41" s="308">
        <f>SUMIF('YR2 Pivot by quarters'!G:G,'Budget Summary'!B:B,'YR2 Pivot by quarters'!K:K)</f>
        <v>0</v>
      </c>
      <c r="Q41" s="321">
        <f>SUMIF('Budget YR2-4 DC+Hm'!C:C,'Budget Summary'!B:B,'Budget YR2-4 DC+Hm'!S:S)</f>
        <v>0</v>
      </c>
      <c r="R41" s="317">
        <f t="shared" si="13"/>
        <v>0</v>
      </c>
      <c r="S41" s="309">
        <f t="shared" si="9"/>
        <v>0</v>
      </c>
      <c r="T41" s="167">
        <f t="shared" si="14"/>
        <v>0</v>
      </c>
      <c r="U41" s="328">
        <f t="shared" si="16"/>
        <v>0</v>
      </c>
      <c r="V41" s="325" t="e">
        <f t="shared" si="15"/>
        <v>#DIV/0!</v>
      </c>
      <c r="W41" s="381">
        <f>SUMIF('YR3 Budget "Master"'!B:B,'Budget Summary'!B:B,'YR3 Budget "Master"'!F:F)+SUMIF('YR3 Budget "Master"'!B:B,'Budget Summary'!B:B,'YR3 Budget "Master"'!G:G)+SUMIF('YR3 Budget "Master"'!B:B,'Budget Summary'!B:B,'YR3 Budget "Master"'!H:H)</f>
        <v>0</v>
      </c>
      <c r="X41" s="307"/>
      <c r="Y41" s="309">
        <f>SUMIF('YR3 Budget "Master"'!B:B,'Budget Summary'!B:B,'YR3 Budget "Master"'!I:I)+SUMIF('YR3 Budget "Master"'!B:B,'Budget Summary'!B:B,'YR3 Budget "Master"'!J:J)+SUMIF('YR3 Budget "Master"'!B:B,'Budget Summary'!B:B,'YR3 Budget "Master"'!K:K)</f>
        <v>0</v>
      </c>
      <c r="Z41" s="307"/>
      <c r="AA41" s="381">
        <f>SUMIF('YR3 Budget "Master"'!B:B,'Budget Summary'!B:B,'YR3 Budget "Master"'!L:L)+SUMIF('YR3 Budget "Master"'!B:B,'Budget Summary'!B:B,'YR3 Budget "Master"'!M:M)+SUMIF('YR3 Budget "Master"'!B:B,'Budget Summary'!B:B,'YR3 Budget "Master"'!N:N)</f>
        <v>0</v>
      </c>
      <c r="AB41" s="307"/>
      <c r="AC41" s="381">
        <f>SUMIF('YR3 Budget "Master"'!B:B,'Budget Summary'!B:B,'YR3 Budget "Master"'!O:O)+SUMIF('YR3 Budget "Master"'!B:B,'Budget Summary'!B:B,'YR3 Budget "Master"'!P:P)+SUMIF('YR3 Budget "Master"'!B:B,'Budget Summary'!B:B,'YR3 Budget "Master"'!Q:Q)</f>
        <v>0</v>
      </c>
      <c r="AD41" s="307"/>
      <c r="AE41" s="381">
        <f t="shared" si="10"/>
        <v>0</v>
      </c>
      <c r="AF41" s="309">
        <f>SUMIF('YR4 Budget revision 310315'!B:B,'Budget Summary'!B:B,'YR4 Budget revision 310315'!F:F)+SUMIF('YR4 Budget revision 310315'!B:B,'Budget Summary'!B:B,'YR4 Budget revision 310315'!G:G)+SUMIF('YR4 Budget revision 310315'!B:B,'Budget Summary'!B:B,'YR4 Budget revision 310315'!H:H)</f>
        <v>0</v>
      </c>
      <c r="AG41" s="307"/>
      <c r="AH41" s="309">
        <f>SUMIF('YR4 Budget revision 310315'!B:B,'Budget Summary'!B:B,'YR4 Budget revision 310315'!I:I)+SUMIF('YR4 Budget revision 310315'!B:B,'Budget Summary'!B:B,'YR4 Budget revision 310315'!J:J)+SUMIF('YR4 Budget revision 310315'!B:B,'Budget Summary'!B:B,'YR4 Budget revision 310315'!K:K)</f>
        <v>0</v>
      </c>
      <c r="AI41" s="307"/>
      <c r="AJ41" s="309">
        <f>SUMIF('YR4 Budget revision 310315'!B:B,'Budget Summary'!B:B,'YR4 Budget revision 310315'!L:L)+SUMIF('YR4 Budget revision 310315'!B:B,'Budget Summary'!B:B,'YR4 Budget revision 310315'!M:M)+SUMIF('YR4 Budget revision 310315'!B:B,'Budget Summary'!B:B,'YR4 Budget revision 310315'!N:N)</f>
        <v>0</v>
      </c>
      <c r="AK41" s="307"/>
      <c r="AL41" s="307">
        <f>SUMIF('YR4 Budget revision 310315'!B:B,'Budget Summary'!B:B,'YR4 Budget revision 310315'!O:O)+SUMIF('YR4 Budget revision 310315'!B:B,'Budget Summary'!B:B,'YR4 Budget revision 310315'!P:P)+SUMIF('YR4 Budget revision 310315'!B:B,'Budget Summary'!B:B,'YR4 Budget revision 310315'!Q:Q)</f>
        <v>0</v>
      </c>
      <c r="AM41" s="307"/>
      <c r="AN41" s="308">
        <f>SUMIF('YR4 Budget revision 310315'!B:B,'Budget Summary'!B:B,'YR4 Budget revision 310315'!E:E)</f>
        <v>0</v>
      </c>
      <c r="AO41" s="308">
        <f>SUMIF('YR5 PIVOT'!D:D,'Budget Summary'!B:B,'YR5 PIVOT'!E:E)</f>
        <v>0</v>
      </c>
      <c r="AP41" s="28">
        <f t="shared" si="11"/>
        <v>0</v>
      </c>
      <c r="AQ41" s="167">
        <f t="shared" si="12"/>
        <v>0</v>
      </c>
      <c r="AR41" s="32"/>
    </row>
    <row r="42" spans="1:44" s="1" customFormat="1" ht="15.75" customHeight="1" hidden="1">
      <c r="A42" s="21">
        <v>9</v>
      </c>
      <c r="B42" s="159" t="s">
        <v>49</v>
      </c>
      <c r="C42" s="772"/>
      <c r="D42" s="773"/>
      <c r="E42" s="26"/>
      <c r="F42" s="26"/>
      <c r="G42" s="26"/>
      <c r="H42" s="26"/>
      <c r="I42" s="307">
        <f>SUMIF('YR1 actual expenses'!D:D,'Budget Summary'!B:B,'YR1 actual expenses'!E:E)</f>
        <v>0</v>
      </c>
      <c r="J42" s="308">
        <f>SUMIF('YR2 Pivot by quarters'!G:G,'Budget Summary'!B:B,'YR2 Pivot by quarters'!H:H)</f>
        <v>0</v>
      </c>
      <c r="K42" s="321">
        <f>SUMIF('Budget YR2-4 DC+Hm'!C:C,'Budget Summary'!B:B,'Budget YR2-4 DC+Hm'!M:M)</f>
        <v>0</v>
      </c>
      <c r="L42" s="308">
        <f>SUMIF('YR2 Pivot by quarters'!G:G,'Budget Summary'!B:B,'YR2 Pivot by quarters'!I:I)</f>
        <v>0</v>
      </c>
      <c r="M42" s="321">
        <f>SUMIF('Budget YR2-4 DC+Hm'!C:C,'Budget Summary'!B:B,'Budget YR2-4 DC+Hm'!O:O)</f>
        <v>0</v>
      </c>
      <c r="N42" s="308">
        <f>SUMIF('YR2 Pivot by quarters'!G:G,'Budget Summary'!B:B,'YR2 Pivot by quarters'!J:J)</f>
        <v>0</v>
      </c>
      <c r="O42" s="321">
        <f>SUMIF('Budget YR2-4 DC+Hm'!C:C,'Budget Summary'!B:B,'Budget YR2-4 DC+Hm'!Q:Q)</f>
        <v>0</v>
      </c>
      <c r="P42" s="308">
        <f>SUMIF('YR2 Pivot by quarters'!G:G,'Budget Summary'!B:B,'YR2 Pivot by quarters'!K:K)</f>
        <v>0</v>
      </c>
      <c r="Q42" s="321">
        <f>SUMIF('Budget YR2-4 DC+Hm'!C:C,'Budget Summary'!B:B,'Budget YR2-4 DC+Hm'!S:S)</f>
        <v>0</v>
      </c>
      <c r="R42" s="317">
        <f t="shared" si="13"/>
        <v>0</v>
      </c>
      <c r="S42" s="309">
        <f t="shared" si="9"/>
        <v>0</v>
      </c>
      <c r="T42" s="167">
        <f t="shared" si="14"/>
        <v>0</v>
      </c>
      <c r="U42" s="328">
        <f t="shared" si="16"/>
        <v>0</v>
      </c>
      <c r="V42" s="325" t="e">
        <f t="shared" si="15"/>
        <v>#DIV/0!</v>
      </c>
      <c r="W42" s="381">
        <f>SUMIF('YR3 Budget "Master"'!B:B,'Budget Summary'!B:B,'YR3 Budget "Master"'!F:F)+SUMIF('YR3 Budget "Master"'!B:B,'Budget Summary'!B:B,'YR3 Budget "Master"'!G:G)+SUMIF('YR3 Budget "Master"'!B:B,'Budget Summary'!B:B,'YR3 Budget "Master"'!H:H)</f>
        <v>0</v>
      </c>
      <c r="X42" s="307"/>
      <c r="Y42" s="309">
        <f>SUMIF('YR3 Budget "Master"'!B:B,'Budget Summary'!B:B,'YR3 Budget "Master"'!I:I)+SUMIF('YR3 Budget "Master"'!B:B,'Budget Summary'!B:B,'YR3 Budget "Master"'!J:J)+SUMIF('YR3 Budget "Master"'!B:B,'Budget Summary'!B:B,'YR3 Budget "Master"'!K:K)</f>
        <v>0</v>
      </c>
      <c r="Z42" s="307"/>
      <c r="AA42" s="381">
        <f>SUMIF('YR3 Budget "Master"'!B:B,'Budget Summary'!B:B,'YR3 Budget "Master"'!L:L)+SUMIF('YR3 Budget "Master"'!B:B,'Budget Summary'!B:B,'YR3 Budget "Master"'!M:M)+SUMIF('YR3 Budget "Master"'!B:B,'Budget Summary'!B:B,'YR3 Budget "Master"'!N:N)</f>
        <v>0</v>
      </c>
      <c r="AB42" s="307"/>
      <c r="AC42" s="381">
        <f>SUMIF('YR3 Budget "Master"'!B:B,'Budget Summary'!B:B,'YR3 Budget "Master"'!O:O)+SUMIF('YR3 Budget "Master"'!B:B,'Budget Summary'!B:B,'YR3 Budget "Master"'!P:P)+SUMIF('YR3 Budget "Master"'!B:B,'Budget Summary'!B:B,'YR3 Budget "Master"'!Q:Q)</f>
        <v>0</v>
      </c>
      <c r="AD42" s="307"/>
      <c r="AE42" s="381">
        <f t="shared" si="10"/>
        <v>0</v>
      </c>
      <c r="AF42" s="309">
        <f>SUMIF('YR4 Budget revision 310315'!B:B,'Budget Summary'!B:B,'YR4 Budget revision 310315'!F:F)+SUMIF('YR4 Budget revision 310315'!B:B,'Budget Summary'!B:B,'YR4 Budget revision 310315'!G:G)+SUMIF('YR4 Budget revision 310315'!B:B,'Budget Summary'!B:B,'YR4 Budget revision 310315'!H:H)</f>
        <v>0</v>
      </c>
      <c r="AG42" s="307"/>
      <c r="AH42" s="309">
        <f>SUMIF('YR4 Budget revision 310315'!B:B,'Budget Summary'!B:B,'YR4 Budget revision 310315'!I:I)+SUMIF('YR4 Budget revision 310315'!B:B,'Budget Summary'!B:B,'YR4 Budget revision 310315'!J:J)+SUMIF('YR4 Budget revision 310315'!B:B,'Budget Summary'!B:B,'YR4 Budget revision 310315'!K:K)</f>
        <v>0</v>
      </c>
      <c r="AI42" s="307"/>
      <c r="AJ42" s="309">
        <f>SUMIF('YR4 Budget revision 310315'!B:B,'Budget Summary'!B:B,'YR4 Budget revision 310315'!L:L)+SUMIF('YR4 Budget revision 310315'!B:B,'Budget Summary'!B:B,'YR4 Budget revision 310315'!M:M)+SUMIF('YR4 Budget revision 310315'!B:B,'Budget Summary'!B:B,'YR4 Budget revision 310315'!N:N)</f>
        <v>0</v>
      </c>
      <c r="AK42" s="307"/>
      <c r="AL42" s="307">
        <f>SUMIF('YR4 Budget revision 310315'!B:B,'Budget Summary'!B:B,'YR4 Budget revision 310315'!O:O)+SUMIF('YR4 Budget revision 310315'!B:B,'Budget Summary'!B:B,'YR4 Budget revision 310315'!P:P)+SUMIF('YR4 Budget revision 310315'!B:B,'Budget Summary'!B:B,'YR4 Budget revision 310315'!Q:Q)</f>
        <v>0</v>
      </c>
      <c r="AM42" s="307"/>
      <c r="AN42" s="308">
        <f>SUMIF('YR4 Budget revision 310315'!B:B,'Budget Summary'!B:B,'YR4 Budget revision 310315'!E:E)</f>
        <v>0</v>
      </c>
      <c r="AO42" s="308">
        <f>SUMIF('YR5 PIVOT'!D:D,'Budget Summary'!B:B,'YR5 PIVOT'!E:E)</f>
        <v>0</v>
      </c>
      <c r="AP42" s="28">
        <f t="shared" si="11"/>
        <v>0</v>
      </c>
      <c r="AQ42" s="167">
        <f t="shared" si="12"/>
        <v>0</v>
      </c>
      <c r="AR42" s="32"/>
    </row>
    <row r="43" spans="1:43" ht="15.75" customHeight="1" hidden="1">
      <c r="A43" s="21">
        <v>11</v>
      </c>
      <c r="B43" s="159" t="s">
        <v>55</v>
      </c>
      <c r="C43" s="772"/>
      <c r="D43" s="773"/>
      <c r="E43" s="26"/>
      <c r="F43" s="26"/>
      <c r="G43" s="26"/>
      <c r="H43" s="26"/>
      <c r="I43" s="307">
        <f>SUMIF('YR1 actual expenses'!D:D,'Budget Summary'!B:B,'YR1 actual expenses'!E:E)</f>
        <v>0</v>
      </c>
      <c r="J43" s="308">
        <f>SUMIF('YR2 Pivot by quarters'!G:G,'Budget Summary'!B:B,'YR2 Pivot by quarters'!H:H)</f>
        <v>0</v>
      </c>
      <c r="K43" s="321">
        <f>SUMIF('Budget YR2-4 DC+Hm'!C:C,'Budget Summary'!B:B,'Budget YR2-4 DC+Hm'!M:M)</f>
        <v>0</v>
      </c>
      <c r="L43" s="308">
        <f>SUMIF('YR2 Pivot by quarters'!G:G,'Budget Summary'!B:B,'YR2 Pivot by quarters'!I:I)</f>
        <v>0</v>
      </c>
      <c r="M43" s="321">
        <f>SUMIF('Budget YR2-4 DC+Hm'!C:C,'Budget Summary'!B:B,'Budget YR2-4 DC+Hm'!O:O)</f>
        <v>0</v>
      </c>
      <c r="N43" s="308">
        <f>SUMIF('YR2 Pivot by quarters'!G:G,'Budget Summary'!B:B,'YR2 Pivot by quarters'!J:J)</f>
        <v>0</v>
      </c>
      <c r="O43" s="321">
        <f>SUMIF('Budget YR2-4 DC+Hm'!C:C,'Budget Summary'!B:B,'Budget YR2-4 DC+Hm'!Q:Q)</f>
        <v>0</v>
      </c>
      <c r="P43" s="308">
        <f>SUMIF('YR2 Pivot by quarters'!G:G,'Budget Summary'!B:B,'YR2 Pivot by quarters'!K:K)</f>
        <v>0</v>
      </c>
      <c r="Q43" s="321">
        <f>SUMIF('Budget YR2-4 DC+Hm'!C:C,'Budget Summary'!B:B,'Budget YR2-4 DC+Hm'!S:S)</f>
        <v>0</v>
      </c>
      <c r="R43" s="317">
        <f t="shared" si="13"/>
        <v>0</v>
      </c>
      <c r="S43" s="309">
        <f t="shared" si="9"/>
        <v>0</v>
      </c>
      <c r="T43" s="167">
        <f t="shared" si="14"/>
        <v>0</v>
      </c>
      <c r="U43" s="328">
        <f t="shared" si="16"/>
        <v>0</v>
      </c>
      <c r="V43" s="325" t="e">
        <f t="shared" si="15"/>
        <v>#DIV/0!</v>
      </c>
      <c r="W43" s="381">
        <f>SUMIF('YR3 Budget "Master"'!B:B,'Budget Summary'!B:B,'YR3 Budget "Master"'!F:F)+SUMIF('YR3 Budget "Master"'!B:B,'Budget Summary'!B:B,'YR3 Budget "Master"'!G:G)+SUMIF('YR3 Budget "Master"'!B:B,'Budget Summary'!B:B,'YR3 Budget "Master"'!H:H)</f>
        <v>0</v>
      </c>
      <c r="X43" s="307"/>
      <c r="Y43" s="309">
        <f>SUMIF('YR3 Budget "Master"'!B:B,'Budget Summary'!B:B,'YR3 Budget "Master"'!I:I)+SUMIF('YR3 Budget "Master"'!B:B,'Budget Summary'!B:B,'YR3 Budget "Master"'!J:J)+SUMIF('YR3 Budget "Master"'!B:B,'Budget Summary'!B:B,'YR3 Budget "Master"'!K:K)</f>
        <v>0</v>
      </c>
      <c r="Z43" s="307"/>
      <c r="AA43" s="381">
        <f>SUMIF('YR3 Budget "Master"'!B:B,'Budget Summary'!B:B,'YR3 Budget "Master"'!L:L)+SUMIF('YR3 Budget "Master"'!B:B,'Budget Summary'!B:B,'YR3 Budget "Master"'!M:M)+SUMIF('YR3 Budget "Master"'!B:B,'Budget Summary'!B:B,'YR3 Budget "Master"'!N:N)</f>
        <v>0</v>
      </c>
      <c r="AB43" s="307"/>
      <c r="AC43" s="381">
        <f>SUMIF('YR3 Budget "Master"'!B:B,'Budget Summary'!B:B,'YR3 Budget "Master"'!O:O)+SUMIF('YR3 Budget "Master"'!B:B,'Budget Summary'!B:B,'YR3 Budget "Master"'!P:P)+SUMIF('YR3 Budget "Master"'!B:B,'Budget Summary'!B:B,'YR3 Budget "Master"'!Q:Q)</f>
        <v>0</v>
      </c>
      <c r="AD43" s="307"/>
      <c r="AE43" s="381">
        <f t="shared" si="10"/>
        <v>0</v>
      </c>
      <c r="AF43" s="309">
        <f>SUMIF('YR4 Budget revision 310315'!B:B,'Budget Summary'!B:B,'YR4 Budget revision 310315'!F:F)+SUMIF('YR4 Budget revision 310315'!B:B,'Budget Summary'!B:B,'YR4 Budget revision 310315'!G:G)+SUMIF('YR4 Budget revision 310315'!B:B,'Budget Summary'!B:B,'YR4 Budget revision 310315'!H:H)</f>
        <v>0</v>
      </c>
      <c r="AG43" s="307"/>
      <c r="AH43" s="309">
        <f>SUMIF('YR4 Budget revision 310315'!B:B,'Budget Summary'!B:B,'YR4 Budget revision 310315'!I:I)+SUMIF('YR4 Budget revision 310315'!B:B,'Budget Summary'!B:B,'YR4 Budget revision 310315'!J:J)+SUMIF('YR4 Budget revision 310315'!B:B,'Budget Summary'!B:B,'YR4 Budget revision 310315'!K:K)</f>
        <v>0</v>
      </c>
      <c r="AI43" s="307"/>
      <c r="AJ43" s="309">
        <f>SUMIF('YR4 Budget revision 310315'!B:B,'Budget Summary'!B:B,'YR4 Budget revision 310315'!L:L)+SUMIF('YR4 Budget revision 310315'!B:B,'Budget Summary'!B:B,'YR4 Budget revision 310315'!M:M)+SUMIF('YR4 Budget revision 310315'!B:B,'Budget Summary'!B:B,'YR4 Budget revision 310315'!N:N)</f>
        <v>0</v>
      </c>
      <c r="AK43" s="307"/>
      <c r="AL43" s="307">
        <f>SUMIF('YR4 Budget revision 310315'!B:B,'Budget Summary'!B:B,'YR4 Budget revision 310315'!O:O)+SUMIF('YR4 Budget revision 310315'!B:B,'Budget Summary'!B:B,'YR4 Budget revision 310315'!P:P)+SUMIF('YR4 Budget revision 310315'!B:B,'Budget Summary'!B:B,'YR4 Budget revision 310315'!Q:Q)</f>
        <v>0</v>
      </c>
      <c r="AM43" s="307"/>
      <c r="AN43" s="308">
        <f>SUMIF('YR4 Budget revision 310315'!B:B,'Budget Summary'!B:B,'YR4 Budget revision 310315'!E:E)</f>
        <v>0</v>
      </c>
      <c r="AO43" s="308">
        <f>SUMIF('YR5 PIVOT'!D:D,'Budget Summary'!B:B,'YR5 PIVOT'!E:E)</f>
        <v>0</v>
      </c>
      <c r="AP43" s="28">
        <f t="shared" si="11"/>
        <v>0</v>
      </c>
      <c r="AQ43" s="167">
        <f t="shared" si="12"/>
        <v>0</v>
      </c>
    </row>
    <row r="44" spans="1:44" s="1" customFormat="1" ht="15.75" customHeight="1">
      <c r="A44" s="22">
        <v>7</v>
      </c>
      <c r="B44" s="25" t="s">
        <v>854</v>
      </c>
      <c r="C44" s="772" t="s">
        <v>863</v>
      </c>
      <c r="D44" s="773"/>
      <c r="E44" s="26"/>
      <c r="F44" s="26"/>
      <c r="G44" s="26"/>
      <c r="H44" s="26"/>
      <c r="I44" s="307">
        <f>SUMIF('YR1 actual expenses'!D:D,'Budget Summary'!B:B,'YR1 actual expenses'!E:E)</f>
        <v>22852.910000000007</v>
      </c>
      <c r="J44" s="308">
        <f>SUMIF('YR2 Pivot by quarters'!G:G,'Budget Summary'!B:B,'YR2 Pivot by quarters'!H:H)</f>
        <v>217034</v>
      </c>
      <c r="K44" s="321">
        <f>SUMIF('Budget YR2-4 DC+Hm'!C:C,'Budget Summary'!B:B,'Budget YR2-4 DC+Hm'!M:M)</f>
        <v>5302.9400000000005</v>
      </c>
      <c r="L44" s="308">
        <f>SUMIF('YR2 Pivot by quarters'!G:G,'Budget Summary'!B:B,'YR2 Pivot by quarters'!I:I)</f>
        <v>24700</v>
      </c>
      <c r="M44" s="321">
        <f>SUMIF('Budget YR2-4 DC+Hm'!C:C,'Budget Summary'!B:B,'Budget YR2-4 DC+Hm'!O:O)</f>
        <v>109160.62999999998</v>
      </c>
      <c r="N44" s="308">
        <f>SUMIF('YR2 Pivot by quarters'!G:G,'Budget Summary'!B:B,'YR2 Pivot by quarters'!J:J)</f>
        <v>68700</v>
      </c>
      <c r="O44" s="321">
        <f>SUMIF('Budget YR2-4 DC+Hm'!C:C,'Budget Summary'!B:B,'Budget YR2-4 DC+Hm'!Q:Q)</f>
        <v>52212.82</v>
      </c>
      <c r="P44" s="308">
        <f>SUMIF('YR2 Pivot by quarters'!G:G,'Budget Summary'!B:B,'YR2 Pivot by quarters'!K:K)</f>
        <v>13700</v>
      </c>
      <c r="Q44" s="321">
        <f>SUMIF('Budget YR2-4 DC+Hm'!C:C,'Budget Summary'!B:B,'Budget YR2-4 DC+Hm'!S:S)</f>
        <v>6418.049999999999</v>
      </c>
      <c r="R44" s="317">
        <f t="shared" si="13"/>
        <v>324134</v>
      </c>
      <c r="S44" s="309">
        <f t="shared" si="9"/>
        <v>346986.91000000003</v>
      </c>
      <c r="T44" s="167">
        <f t="shared" si="14"/>
        <v>0.12347196714781399</v>
      </c>
      <c r="U44" s="328">
        <f t="shared" si="16"/>
        <v>195947.34999999998</v>
      </c>
      <c r="V44" s="325">
        <f t="shared" si="15"/>
        <v>0.5647110722418893</v>
      </c>
      <c r="W44" s="381">
        <f>SUMIF('YR3 Budget "Master"'!B:B,'Budget Summary'!B:B,'YR3 Budget "Master"'!F:F)+SUMIF('YR3 Budget "Master"'!B:B,'Budget Summary'!B:B,'YR3 Budget "Master"'!G:G)+SUMIF('YR3 Budget "Master"'!B:B,'Budget Summary'!B:B,'YR3 Budget "Master"'!H:H)</f>
        <v>46050</v>
      </c>
      <c r="X44" s="307"/>
      <c r="Y44" s="309">
        <f>SUMIF('YR3 Budget "Master"'!B:B,'Budget Summary'!B:B,'YR3 Budget "Master"'!I:I)+SUMIF('YR3 Budget "Master"'!B:B,'Budget Summary'!B:B,'YR3 Budget "Master"'!J:J)+SUMIF('YR3 Budget "Master"'!B:B,'Budget Summary'!B:B,'YR3 Budget "Master"'!K:K)</f>
        <v>210100</v>
      </c>
      <c r="Z44" s="307"/>
      <c r="AA44" s="381">
        <f>SUMIF('YR3 Budget "Master"'!B:B,'Budget Summary'!B:B,'YR3 Budget "Master"'!L:L)+SUMIF('YR3 Budget "Master"'!B:B,'Budget Summary'!B:B,'YR3 Budget "Master"'!M:M)+SUMIF('YR3 Budget "Master"'!B:B,'Budget Summary'!B:B,'YR3 Budget "Master"'!N:N)</f>
        <v>0</v>
      </c>
      <c r="AB44" s="307"/>
      <c r="AC44" s="381">
        <f>SUMIF('YR3 Budget "Master"'!B:B,'Budget Summary'!B:B,'YR3 Budget "Master"'!O:O)+SUMIF('YR3 Budget "Master"'!B:B,'Budget Summary'!B:B,'YR3 Budget "Master"'!P:P)+SUMIF('YR3 Budget "Master"'!B:B,'Budget Summary'!B:B,'YR3 Budget "Master"'!Q:Q)</f>
        <v>20450</v>
      </c>
      <c r="AD44" s="307"/>
      <c r="AE44" s="381">
        <f t="shared" si="10"/>
        <v>276600</v>
      </c>
      <c r="AF44" s="309">
        <f>SUMIF('YR4 Budget revision 310315'!B:B,'Budget Summary'!B:B,'YR4 Budget revision 310315'!F:F)+SUMIF('YR4 Budget revision 310315'!B:B,'Budget Summary'!B:B,'YR4 Budget revision 310315'!G:G)+SUMIF('YR4 Budget revision 310315'!B:B,'Budget Summary'!B:B,'YR4 Budget revision 310315'!H:H)</f>
        <v>52875</v>
      </c>
      <c r="AG44" s="307"/>
      <c r="AH44" s="309">
        <f>SUMIF('YR4 Budget revision 310315'!B:B,'Budget Summary'!B:B,'YR4 Budget revision 310315'!I:I)+SUMIF('YR4 Budget revision 310315'!B:B,'Budget Summary'!B:B,'YR4 Budget revision 310315'!J:J)+SUMIF('YR4 Budget revision 310315'!B:B,'Budget Summary'!B:B,'YR4 Budget revision 310315'!K:K)</f>
        <v>184900</v>
      </c>
      <c r="AI44" s="307"/>
      <c r="AJ44" s="309">
        <f>SUMIF('YR4 Budget revision 310315'!B:B,'Budget Summary'!B:B,'YR4 Budget revision 310315'!L:L)+SUMIF('YR4 Budget revision 310315'!B:B,'Budget Summary'!B:B,'YR4 Budget revision 310315'!M:M)+SUMIF('YR4 Budget revision 310315'!B:B,'Budget Summary'!B:B,'YR4 Budget revision 310315'!N:N)</f>
        <v>21500</v>
      </c>
      <c r="AK44" s="307"/>
      <c r="AL44" s="307">
        <f>SUMIF('YR4 Budget revision 310315'!B:B,'Budget Summary'!B:B,'YR4 Budget revision 310315'!O:O)+SUMIF('YR4 Budget revision 310315'!B:B,'Budget Summary'!B:B,'YR4 Budget revision 310315'!P:P)+SUMIF('YR4 Budget revision 310315'!B:B,'Budget Summary'!B:B,'YR4 Budget revision 310315'!Q:Q)</f>
        <v>21250</v>
      </c>
      <c r="AM44" s="307"/>
      <c r="AN44" s="308">
        <f>SUMIF('YR4 Budget revision 310315'!B:B,'Budget Summary'!B:B,'YR4 Budget revision 310315'!E:E)</f>
        <v>280525</v>
      </c>
      <c r="AO44" s="308">
        <f>SUMIF('YR5 PIVOT'!D:D,'Budget Summary'!B:B,'YR5 PIVOT'!E:E)+100000</f>
        <v>168000</v>
      </c>
      <c r="AP44" s="28">
        <f t="shared" si="11"/>
        <v>921072.35</v>
      </c>
      <c r="AQ44" s="167">
        <f t="shared" si="12"/>
        <v>0.1264286258458467</v>
      </c>
      <c r="AR44" s="32"/>
    </row>
    <row r="45" spans="1:44" s="1" customFormat="1" ht="15.75" customHeight="1">
      <c r="A45" s="22">
        <v>8</v>
      </c>
      <c r="B45" s="25" t="s">
        <v>853</v>
      </c>
      <c r="C45" s="772" t="s">
        <v>864</v>
      </c>
      <c r="D45" s="773"/>
      <c r="E45" s="26"/>
      <c r="F45" s="26"/>
      <c r="G45" s="26"/>
      <c r="H45" s="26"/>
      <c r="I45" s="307">
        <f>SUMIF('YR1 actual expenses'!D:D,'Budget Summary'!B:B,'YR1 actual expenses'!E:E)</f>
        <v>0</v>
      </c>
      <c r="J45" s="308">
        <f>SUMIF('YR2 Pivot by quarters'!G:G,'Budget Summary'!B:B,'YR2 Pivot by quarters'!H:H)</f>
        <v>42050</v>
      </c>
      <c r="K45" s="321">
        <f>SUMIF('Budget YR2-4 DC+Hm'!C:C,'Budget Summary'!B:B,'Budget YR2-4 DC+Hm'!M:M)</f>
        <v>10501.69</v>
      </c>
      <c r="L45" s="308">
        <f>SUMIF('YR2 Pivot by quarters'!G:G,'Budget Summary'!B:B,'YR2 Pivot by quarters'!I:I)</f>
        <v>95300</v>
      </c>
      <c r="M45" s="321">
        <f>SUMIF('Budget YR2-4 DC+Hm'!C:C,'Budget Summary'!B:B,'Budget YR2-4 DC+Hm'!O:O)</f>
        <v>21268.21</v>
      </c>
      <c r="N45" s="308">
        <f>SUMIF('YR2 Pivot by quarters'!G:G,'Budget Summary'!B:B,'YR2 Pivot by quarters'!J:J)</f>
        <v>42050</v>
      </c>
      <c r="O45" s="321">
        <f>SUMIF('Budget YR2-4 DC+Hm'!C:C,'Budget Summary'!B:B,'Budget YR2-4 DC+Hm'!Q:Q)</f>
        <v>-16782.380000000005</v>
      </c>
      <c r="P45" s="308">
        <f>SUMIF('YR2 Pivot by quarters'!G:G,'Budget Summary'!B:B,'YR2 Pivot by quarters'!K:K)</f>
        <v>42050</v>
      </c>
      <c r="Q45" s="321">
        <f>SUMIF('Budget YR2-4 DC+Hm'!C:C,'Budget Summary'!B:B,'Budget YR2-4 DC+Hm'!S:S)</f>
        <v>17341.07</v>
      </c>
      <c r="R45" s="317">
        <f t="shared" si="13"/>
        <v>221450</v>
      </c>
      <c r="S45" s="309">
        <f t="shared" si="9"/>
        <v>221450</v>
      </c>
      <c r="T45" s="167">
        <f t="shared" si="14"/>
        <v>0.07880086059985203</v>
      </c>
      <c r="U45" s="328">
        <f t="shared" si="16"/>
        <v>32328.589999999997</v>
      </c>
      <c r="V45" s="325">
        <f t="shared" si="15"/>
        <v>0.1459859561977873</v>
      </c>
      <c r="W45" s="381">
        <f>SUMIF('YR3 Budget "Master"'!B:B,'Budget Summary'!B:B,'YR3 Budget "Master"'!F:F)+SUMIF('YR3 Budget "Master"'!B:B,'Budget Summary'!B:B,'YR3 Budget "Master"'!G:G)+SUMIF('YR3 Budget "Master"'!B:B,'Budget Summary'!B:B,'YR3 Budget "Master"'!H:H)</f>
        <v>110595</v>
      </c>
      <c r="X45" s="307"/>
      <c r="Y45" s="309">
        <f>SUMIF('YR3 Budget "Master"'!B:B,'Budget Summary'!B:B,'YR3 Budget "Master"'!I:I)+SUMIF('YR3 Budget "Master"'!B:B,'Budget Summary'!B:B,'YR3 Budget "Master"'!J:J)+SUMIF('YR3 Budget "Master"'!B:B,'Budget Summary'!B:B,'YR3 Budget "Master"'!K:K)</f>
        <v>138670</v>
      </c>
      <c r="Z45" s="307"/>
      <c r="AA45" s="381">
        <f>SUMIF('YR3 Budget "Master"'!B:B,'Budget Summary'!B:B,'YR3 Budget "Master"'!L:L)+SUMIF('YR3 Budget "Master"'!B:B,'Budget Summary'!B:B,'YR3 Budget "Master"'!M:M)+SUMIF('YR3 Budget "Master"'!B:B,'Budget Summary'!B:B,'YR3 Budget "Master"'!N:N)</f>
        <v>135065</v>
      </c>
      <c r="AB45" s="307"/>
      <c r="AC45" s="381">
        <f>SUMIF('YR3 Budget "Master"'!B:B,'Budget Summary'!B:B,'YR3 Budget "Master"'!O:O)+SUMIF('YR3 Budget "Master"'!B:B,'Budget Summary'!B:B,'YR3 Budget "Master"'!P:P)+SUMIF('YR3 Budget "Master"'!B:B,'Budget Summary'!B:B,'YR3 Budget "Master"'!Q:Q)</f>
        <v>72010</v>
      </c>
      <c r="AD45" s="307"/>
      <c r="AE45" s="381">
        <f t="shared" si="10"/>
        <v>456340</v>
      </c>
      <c r="AF45" s="309">
        <f>SUMIF('YR4 Budget revision 310315'!B:B,'Budget Summary'!B:B,'YR4 Budget revision 310315'!F:F)+SUMIF('YR4 Budget revision 310315'!B:B,'Budget Summary'!B:B,'YR4 Budget revision 310315'!G:G)+SUMIF('YR4 Budget revision 310315'!B:B,'Budget Summary'!B:B,'YR4 Budget revision 310315'!H:H)</f>
        <v>91385.75</v>
      </c>
      <c r="AG45" s="307"/>
      <c r="AH45" s="309">
        <f>SUMIF('YR4 Budget revision 310315'!B:B,'Budget Summary'!B:B,'YR4 Budget revision 310315'!I:I)+SUMIF('YR4 Budget revision 310315'!B:B,'Budget Summary'!B:B,'YR4 Budget revision 310315'!J:J)+SUMIF('YR4 Budget revision 310315'!B:B,'Budget Summary'!B:B,'YR4 Budget revision 310315'!K:K)</f>
        <v>102503</v>
      </c>
      <c r="AI45" s="307"/>
      <c r="AJ45" s="309">
        <f>SUMIF('YR4 Budget revision 310315'!B:B,'Budget Summary'!B:B,'YR4 Budget revision 310315'!L:L)+SUMIF('YR4 Budget revision 310315'!B:B,'Budget Summary'!B:B,'YR4 Budget revision 310315'!M:M)+SUMIF('YR4 Budget revision 310315'!B:B,'Budget Summary'!B:B,'YR4 Budget revision 310315'!N:N)</f>
        <v>106563</v>
      </c>
      <c r="AK45" s="307"/>
      <c r="AL45" s="307">
        <f>SUMIF('YR4 Budget revision 310315'!B:B,'Budget Summary'!B:B,'YR4 Budget revision 310315'!O:O)+SUMIF('YR4 Budget revision 310315'!B:B,'Budget Summary'!B:B,'YR4 Budget revision 310315'!P:P)+SUMIF('YR4 Budget revision 310315'!B:B,'Budget Summary'!B:B,'YR4 Budget revision 310315'!Q:Q)</f>
        <v>45173</v>
      </c>
      <c r="AM45" s="307"/>
      <c r="AN45" s="308">
        <f>SUMIF('YR4 Budget revision 310315'!B:B,'Budget Summary'!B:B,'YR4 Budget revision 310315'!E:E)</f>
        <v>345624.75</v>
      </c>
      <c r="AO45" s="308">
        <f>SUMIF('YR5 PIVOT'!D:D,'Budget Summary'!B:B,'YR5 PIVOT'!E:E)</f>
        <v>0</v>
      </c>
      <c r="AP45" s="28">
        <f t="shared" si="11"/>
        <v>834293.34</v>
      </c>
      <c r="AQ45" s="167">
        <f t="shared" si="12"/>
        <v>0.1145171283542946</v>
      </c>
      <c r="AR45" s="32"/>
    </row>
    <row r="46" spans="1:44" s="1" customFormat="1" ht="15.75" customHeight="1">
      <c r="A46" s="22">
        <v>9</v>
      </c>
      <c r="B46" s="25" t="s">
        <v>58</v>
      </c>
      <c r="C46" s="809" t="s">
        <v>865</v>
      </c>
      <c r="D46" s="810"/>
      <c r="E46" s="26"/>
      <c r="F46" s="26"/>
      <c r="G46" s="26"/>
      <c r="H46" s="26"/>
      <c r="I46" s="307">
        <f>SUMIF('YR1 actual expenses'!D:D,'Budget Summary'!B:B,'YR1 actual expenses'!E:E)</f>
        <v>54565.65000000001</v>
      </c>
      <c r="J46" s="308">
        <f>SUMIF('YR2 Pivot by quarters'!G:G,'Budget Summary'!B:B,'YR2 Pivot by quarters'!H:H)</f>
        <v>69537.49999999999</v>
      </c>
      <c r="K46" s="321">
        <f>SUMIF('Budget YR2-4 DC+Hm'!C:C,'Budget Summary'!B:B,'Budget YR2-4 DC+Hm'!M:M)</f>
        <v>21298.929999999997</v>
      </c>
      <c r="L46" s="308">
        <f>SUMIF('YR2 Pivot by quarters'!G:G,'Budget Summary'!B:B,'YR2 Pivot by quarters'!I:I)</f>
        <v>73396.32333333332</v>
      </c>
      <c r="M46" s="321">
        <f>SUMIF('Budget YR2-4 DC+Hm'!C:C,'Budget Summary'!B:B,'Budget YR2-4 DC+Hm'!O:O)</f>
        <v>24460.639999999996</v>
      </c>
      <c r="N46" s="308">
        <f>SUMIF('YR2 Pivot by quarters'!G:G,'Budget Summary'!B:B,'YR2 Pivot by quarters'!J:J)</f>
        <v>73396.32333333332</v>
      </c>
      <c r="O46" s="321">
        <f>SUMIF('Budget YR2-4 DC+Hm'!C:C,'Budget Summary'!B:B,'Budget YR2-4 DC+Hm'!Q:Q)</f>
        <v>65634.68000000002</v>
      </c>
      <c r="P46" s="308">
        <f>SUMIF('YR2 Pivot by quarters'!G:G,'Budget Summary'!B:B,'YR2 Pivot by quarters'!K:K)</f>
        <v>73396.32333333332</v>
      </c>
      <c r="Q46" s="321">
        <f>SUMIF('Budget YR2-4 DC+Hm'!C:C,'Budget Summary'!B:B,'Budget YR2-4 DC+Hm'!S:S)</f>
        <v>48617.189999999995</v>
      </c>
      <c r="R46" s="317">
        <f t="shared" si="13"/>
        <v>289726.4699999999</v>
      </c>
      <c r="S46" s="309">
        <f t="shared" si="9"/>
        <v>344292.11999999994</v>
      </c>
      <c r="T46" s="167">
        <f t="shared" si="14"/>
        <v>0.122513051947381</v>
      </c>
      <c r="U46" s="328">
        <f t="shared" si="16"/>
        <v>214577.09000000003</v>
      </c>
      <c r="V46" s="325">
        <f t="shared" si="15"/>
        <v>0.6232413625963907</v>
      </c>
      <c r="W46" s="381">
        <f>SUMIF('YR3 Budget "Master"'!B:B,'Budget Summary'!B:B,'YR3 Budget "Master"'!F:F)+SUMIF('YR3 Budget "Master"'!B:B,'Budget Summary'!B:B,'YR3 Budget "Master"'!G:G)+SUMIF('YR3 Budget "Master"'!B:B,'Budget Summary'!B:B,'YR3 Budget "Master"'!H:H)</f>
        <v>9200</v>
      </c>
      <c r="X46" s="307"/>
      <c r="Y46" s="309">
        <f>SUMIF('YR3 Budget "Master"'!B:B,'Budget Summary'!B:B,'YR3 Budget "Master"'!I:I)+SUMIF('YR3 Budget "Master"'!B:B,'Budget Summary'!B:B,'YR3 Budget "Master"'!J:J)+SUMIF('YR3 Budget "Master"'!B:B,'Budget Summary'!B:B,'YR3 Budget "Master"'!K:K)</f>
        <v>17500</v>
      </c>
      <c r="Z46" s="307"/>
      <c r="AA46" s="381">
        <f>SUMIF('YR3 Budget "Master"'!B:B,'Budget Summary'!B:B,'YR3 Budget "Master"'!L:L)+SUMIF('YR3 Budget "Master"'!B:B,'Budget Summary'!B:B,'YR3 Budget "Master"'!M:M)+SUMIF('YR3 Budget "Master"'!B:B,'Budget Summary'!B:B,'YR3 Budget "Master"'!N:N)</f>
        <v>22325</v>
      </c>
      <c r="AB46" s="307"/>
      <c r="AC46" s="381">
        <f>SUMIF('YR3 Budget "Master"'!B:B,'Budget Summary'!B:B,'YR3 Budget "Master"'!O:O)+SUMIF('YR3 Budget "Master"'!B:B,'Budget Summary'!B:B,'YR3 Budget "Master"'!P:P)+SUMIF('YR3 Budget "Master"'!B:B,'Budget Summary'!B:B,'YR3 Budget "Master"'!Q:Q)</f>
        <v>30525</v>
      </c>
      <c r="AD46" s="307"/>
      <c r="AE46" s="381">
        <f t="shared" si="10"/>
        <v>79550</v>
      </c>
      <c r="AF46" s="309">
        <f>SUMIF('YR4 Budget revision 310315'!B:B,'Budget Summary'!B:B,'YR4 Budget revision 310315'!F:F)+SUMIF('YR4 Budget revision 310315'!B:B,'Budget Summary'!B:B,'YR4 Budget revision 310315'!G:G)+SUMIF('YR4 Budget revision 310315'!B:B,'Budget Summary'!B:B,'YR4 Budget revision 310315'!H:H)</f>
        <v>8400</v>
      </c>
      <c r="AG46" s="307"/>
      <c r="AH46" s="309">
        <f>SUMIF('YR4 Budget revision 310315'!B:B,'Budget Summary'!B:B,'YR4 Budget revision 310315'!I:I)+SUMIF('YR4 Budget revision 310315'!B:B,'Budget Summary'!B:B,'YR4 Budget revision 310315'!J:J)+SUMIF('YR4 Budget revision 310315'!B:B,'Budget Summary'!B:B,'YR4 Budget revision 310315'!K:K)</f>
        <v>9000</v>
      </c>
      <c r="AI46" s="307"/>
      <c r="AJ46" s="309">
        <f>SUMIF('YR4 Budget revision 310315'!B:B,'Budget Summary'!B:B,'YR4 Budget revision 310315'!L:L)+SUMIF('YR4 Budget revision 310315'!B:B,'Budget Summary'!B:B,'YR4 Budget revision 310315'!M:M)+SUMIF('YR4 Budget revision 310315'!B:B,'Budget Summary'!B:B,'YR4 Budget revision 310315'!N:N)</f>
        <v>15000</v>
      </c>
      <c r="AK46" s="307"/>
      <c r="AL46" s="307">
        <f>SUMIF('YR4 Budget revision 310315'!B:B,'Budget Summary'!B:B,'YR4 Budget revision 310315'!O:O)+SUMIF('YR4 Budget revision 310315'!B:B,'Budget Summary'!B:B,'YR4 Budget revision 310315'!P:P)+SUMIF('YR4 Budget revision 310315'!B:B,'Budget Summary'!B:B,'YR4 Budget revision 310315'!Q:Q)</f>
        <v>14000</v>
      </c>
      <c r="AM46" s="307"/>
      <c r="AN46" s="308">
        <f>SUMIF('YR4 Budget revision 310315'!B:B,'Budget Summary'!B:B,'YR4 Budget revision 310315'!E:E)</f>
        <v>46400</v>
      </c>
      <c r="AO46" s="308">
        <f>SUMIF('YR5 PIVOT'!D:D,'Budget Summary'!B:B,'YR5 PIVOT'!E:E)</f>
        <v>104298</v>
      </c>
      <c r="AP46" s="28">
        <f t="shared" si="11"/>
        <v>444825.09</v>
      </c>
      <c r="AQ46" s="167">
        <f t="shared" si="12"/>
        <v>0.06105777127112228</v>
      </c>
      <c r="AR46" s="32"/>
    </row>
    <row r="47" spans="1:43" ht="15.75" customHeight="1">
      <c r="A47" s="22">
        <v>10</v>
      </c>
      <c r="B47" s="25" t="s">
        <v>59</v>
      </c>
      <c r="C47" s="820"/>
      <c r="D47" s="821"/>
      <c r="E47" s="26"/>
      <c r="F47" s="26"/>
      <c r="G47" s="26"/>
      <c r="H47" s="26"/>
      <c r="I47" s="307">
        <f>SUMIF('YR1 actual expenses'!D:D,'Budget Summary'!B:B,'YR1 actual expenses'!E:E)</f>
        <v>154682.16819999996</v>
      </c>
      <c r="J47" s="308">
        <f>SUMIF('YR2 Pivot by quarters'!G:G,'Budget Summary'!B:B,'YR2 Pivot by quarters'!H:H)</f>
        <v>350695.3045</v>
      </c>
      <c r="K47" s="321">
        <f>SUMIF('Budget YR2-4 DC+Hm'!C:C,'Budget Summary'!B:B,'Budget YR2-4 DC+Hm'!M:M)</f>
        <v>63211.850999999995</v>
      </c>
      <c r="L47" s="308">
        <f>SUMIF('YR2 Pivot by quarters'!G:G,'Budget Summary'!B:B,'YR2 Pivot by quarters'!I:I)</f>
        <v>166533.30450000003</v>
      </c>
      <c r="M47" s="321">
        <f>SUMIF('Budget YR2-4 DC+Hm'!C:C,'Budget Summary'!B:B,'Budget YR2-4 DC+Hm'!O:O)</f>
        <v>253437.91200000007</v>
      </c>
      <c r="N47" s="308">
        <f>SUMIF('YR2 Pivot by quarters'!G:G,'Budget Summary'!B:B,'YR2 Pivot by quarters'!J:J)</f>
        <v>136373.30450000003</v>
      </c>
      <c r="O47" s="321">
        <f>SUMIF('Budget YR2-4 DC+Hm'!C:C,'Budget Summary'!B:B,'Budget YR2-4 DC+Hm'!Q:Q)</f>
        <v>220941.72500000003</v>
      </c>
      <c r="P47" s="308">
        <f>SUMIF('YR2 Pivot by quarters'!G:G,'Budget Summary'!B:B,'YR2 Pivot by quarters'!K:K)</f>
        <v>134708.30450000003</v>
      </c>
      <c r="Q47" s="321">
        <f>SUMIF('Budget YR2-4 DC+Hm'!C:C,'Budget Summary'!B:B,'Budget YR2-4 DC+Hm'!S:S)</f>
        <v>180739.24346</v>
      </c>
      <c r="R47" s="317">
        <f t="shared" si="13"/>
        <v>788310.2180000001</v>
      </c>
      <c r="S47" s="309">
        <f t="shared" si="9"/>
        <v>942992.3862000001</v>
      </c>
      <c r="T47" s="167">
        <f t="shared" si="14"/>
        <v>0.3355548050199505</v>
      </c>
      <c r="U47" s="328">
        <f t="shared" si="16"/>
        <v>873012.8996600001</v>
      </c>
      <c r="V47" s="325">
        <f t="shared" si="15"/>
        <v>0.925789977136509</v>
      </c>
      <c r="W47" s="381">
        <f>SUMIF('YR3 Budget "Master"'!B:B,'Budget Summary'!B:B,'YR3 Budget "Master"'!F:F)+SUMIF('YR3 Budget "Master"'!B:B,'Budget Summary'!B:B,'YR3 Budget "Master"'!G:G)+SUMIF('YR3 Budget "Master"'!B:B,'Budget Summary'!B:B,'YR3 Budget "Master"'!H:H)</f>
        <v>227601.98599999998</v>
      </c>
      <c r="X47" s="317"/>
      <c r="Y47" s="309">
        <f>SUMIF('YR3 Budget "Master"'!B:B,'Budget Summary'!B:B,'YR3 Budget "Master"'!I:I)+SUMIF('YR3 Budget "Master"'!B:B,'Budget Summary'!B:B,'YR3 Budget "Master"'!J:J)+SUMIF('YR3 Budget "Master"'!B:B,'Budget Summary'!B:B,'YR3 Budget "Master"'!K:K)</f>
        <v>306795.61100000003</v>
      </c>
      <c r="Z47" s="317"/>
      <c r="AA47" s="381">
        <f>SUMIF('YR3 Budget "Master"'!B:B,'Budget Summary'!B:B,'YR3 Budget "Master"'!L:L)+SUMIF('YR3 Budget "Master"'!B:B,'Budget Summary'!B:B,'YR3 Budget "Master"'!M:M)+SUMIF('YR3 Budget "Master"'!B:B,'Budget Summary'!B:B,'YR3 Budget "Master"'!N:N)</f>
        <v>200366.36099999998</v>
      </c>
      <c r="AB47" s="317"/>
      <c r="AC47" s="381">
        <f>SUMIF('YR3 Budget "Master"'!B:B,'Budget Summary'!B:B,'YR3 Budget "Master"'!O:O)+SUMIF('YR3 Budget "Master"'!B:B,'Budget Summary'!B:B,'YR3 Budget "Master"'!P:P)+SUMIF('YR3 Budget "Master"'!B:B,'Budget Summary'!B:B,'YR3 Budget "Master"'!Q:Q)</f>
        <v>167994.61099999998</v>
      </c>
      <c r="AD47" s="317"/>
      <c r="AE47" s="381">
        <f t="shared" si="10"/>
        <v>902758.5690000001</v>
      </c>
      <c r="AF47" s="309">
        <f>SUMIF('YR4 Budget revision 310315'!B:B,'Budget Summary'!B:B,'YR4 Budget revision 310315'!F:F)+SUMIF('YR4 Budget revision 310315'!B:B,'Budget Summary'!B:B,'YR4 Budget revision 310315'!G:G)+SUMIF('YR4 Budget revision 310315'!B:B,'Budget Summary'!B:B,'YR4 Budget revision 310315'!H:H)</f>
        <v>236999.3603</v>
      </c>
      <c r="AG47" s="317"/>
      <c r="AH47" s="309">
        <f>SUMIF('YR4 Budget revision 310315'!B:B,'Budget Summary'!B:B,'YR4 Budget revision 310315'!I:I)+SUMIF('YR4 Budget revision 310315'!B:B,'Budget Summary'!B:B,'YR4 Budget revision 310315'!J:J)+SUMIF('YR4 Budget revision 310315'!B:B,'Budget Summary'!B:B,'YR4 Budget revision 310315'!K:K)</f>
        <v>299298.83530000004</v>
      </c>
      <c r="AI47" s="317"/>
      <c r="AJ47" s="309">
        <f>SUMIF('YR4 Budget revision 310315'!B:B,'Budget Summary'!B:B,'YR4 Budget revision 310315'!L:L)+SUMIF('YR4 Budget revision 310315'!B:B,'Budget Summary'!B:B,'YR4 Budget revision 310315'!M:M)+SUMIF('YR4 Budget revision 310315'!B:B,'Budget Summary'!B:B,'YR4 Budget revision 310315'!N:N)</f>
        <v>214491.14779999998</v>
      </c>
      <c r="AK47" s="317"/>
      <c r="AL47" s="317">
        <f>SUMIF('YR4 Budget revision 310315'!B:B,'Budget Summary'!B:B,'YR4 Budget revision 310315'!O:O)+SUMIF('YR4 Budget revision 310315'!B:B,'Budget Summary'!B:B,'YR4 Budget revision 310315'!P:P)+SUMIF('YR4 Budget revision 310315'!B:B,'Budget Summary'!B:B,'YR4 Budget revision 310315'!Q:Q)</f>
        <v>191480.3228</v>
      </c>
      <c r="AM47" s="317"/>
      <c r="AN47" s="308">
        <f>SUMIF('YR4 Budget revision 310315'!B:B,'Budget Summary'!B:B,'YR4 Budget revision 310315'!E:E)</f>
        <v>942269.6662000001</v>
      </c>
      <c r="AO47" s="308">
        <f>SUMIF('YR5 PIVOT'!D:D,'Budget Summary'!B:B,'YR5 PIVOT'!E:E)+80000</f>
        <v>232256.472</v>
      </c>
      <c r="AP47" s="28">
        <f t="shared" si="11"/>
        <v>2950297.6068600006</v>
      </c>
      <c r="AQ47" s="167">
        <f t="shared" si="12"/>
        <v>0.4049650087439927</v>
      </c>
    </row>
    <row r="48" spans="1:43" ht="15.75" thickBot="1">
      <c r="A48" s="777" t="s">
        <v>36</v>
      </c>
      <c r="B48" s="778"/>
      <c r="C48" s="778"/>
      <c r="D48" s="779"/>
      <c r="E48" s="27">
        <f aca="true" t="shared" si="17" ref="E48:AQ48">SUM(E35:E47)</f>
        <v>0</v>
      </c>
      <c r="F48" s="27">
        <f t="shared" si="17"/>
        <v>0</v>
      </c>
      <c r="G48" s="27">
        <f t="shared" si="17"/>
        <v>0</v>
      </c>
      <c r="H48" s="27">
        <f t="shared" si="17"/>
        <v>0</v>
      </c>
      <c r="I48" s="310">
        <f t="shared" si="17"/>
        <v>534742.4082</v>
      </c>
      <c r="J48" s="310">
        <f t="shared" si="17"/>
        <v>918782.962</v>
      </c>
      <c r="K48" s="322">
        <f t="shared" si="17"/>
        <v>224440.93099999998</v>
      </c>
      <c r="L48" s="310">
        <f t="shared" si="17"/>
        <v>582619.3753333334</v>
      </c>
      <c r="M48" s="322">
        <f t="shared" si="17"/>
        <v>510270.222</v>
      </c>
      <c r="N48" s="310">
        <f t="shared" si="17"/>
        <v>428559.37533333333</v>
      </c>
      <c r="O48" s="322">
        <f t="shared" si="17"/>
        <v>404790.94500000007</v>
      </c>
      <c r="P48" s="310">
        <f t="shared" si="17"/>
        <v>345544.37533333333</v>
      </c>
      <c r="Q48" s="322">
        <f t="shared" si="17"/>
        <v>332695.82346</v>
      </c>
      <c r="R48" s="310">
        <f t="shared" si="17"/>
        <v>2275506.088</v>
      </c>
      <c r="S48" s="310">
        <f t="shared" si="17"/>
        <v>2810248.4962</v>
      </c>
      <c r="T48" s="311">
        <f t="shared" si="17"/>
        <v>1</v>
      </c>
      <c r="U48" s="326">
        <f t="shared" si="17"/>
        <v>2006940.32966</v>
      </c>
      <c r="V48" s="327">
        <f>U48/S48</f>
        <v>0.7141504861131576</v>
      </c>
      <c r="W48" s="316">
        <f t="shared" si="17"/>
        <v>532946.986</v>
      </c>
      <c r="X48" s="316"/>
      <c r="Y48" s="316">
        <f t="shared" si="17"/>
        <v>838965.611</v>
      </c>
      <c r="Z48" s="316"/>
      <c r="AA48" s="316">
        <f t="shared" si="17"/>
        <v>520056.361</v>
      </c>
      <c r="AB48" s="316"/>
      <c r="AC48" s="316">
        <f t="shared" si="17"/>
        <v>436079.611</v>
      </c>
      <c r="AD48" s="316"/>
      <c r="AE48" s="310">
        <f t="shared" si="17"/>
        <v>2328048.569</v>
      </c>
      <c r="AF48" s="316">
        <f>SUM(AF35:AF47)</f>
        <v>516997.1103</v>
      </c>
      <c r="AG48" s="316"/>
      <c r="AH48" s="316">
        <f>SUM(AH35:AH47)</f>
        <v>731917.5853</v>
      </c>
      <c r="AI48" s="316"/>
      <c r="AJ48" s="316">
        <f>SUM(AJ35:AJ47)</f>
        <v>498708.6478</v>
      </c>
      <c r="AK48" s="316"/>
      <c r="AL48" s="316">
        <f>SUM(AL35:AL47)</f>
        <v>403296.57279999997</v>
      </c>
      <c r="AM48" s="316"/>
      <c r="AN48" s="310">
        <f t="shared" si="17"/>
        <v>2150919.9162</v>
      </c>
      <c r="AO48" s="310">
        <f t="shared" si="17"/>
        <v>799406.0719999999</v>
      </c>
      <c r="AP48" s="310">
        <f t="shared" si="17"/>
        <v>7285314.886860001</v>
      </c>
      <c r="AQ48" s="27">
        <f t="shared" si="17"/>
        <v>1</v>
      </c>
    </row>
    <row r="49" spans="1:43" ht="15">
      <c r="A49" s="3"/>
      <c r="B49" s="3"/>
      <c r="C49" s="803"/>
      <c r="D49" s="80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ht="18" customHeight="1">
      <c r="A50" s="12" t="s">
        <v>61</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row>
    <row r="51" spans="1:44" s="1" customFormat="1" ht="9.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2"/>
    </row>
    <row r="52" spans="1:44" s="1" customFormat="1" ht="15">
      <c r="A52" s="790" t="s">
        <v>1</v>
      </c>
      <c r="B52" s="790" t="s">
        <v>54</v>
      </c>
      <c r="C52" s="782" t="s">
        <v>53</v>
      </c>
      <c r="D52" s="783"/>
      <c r="E52" s="805" t="s">
        <v>2</v>
      </c>
      <c r="F52" s="805"/>
      <c r="G52" s="805"/>
      <c r="H52" s="805"/>
      <c r="I52" s="766" t="s">
        <v>3</v>
      </c>
      <c r="J52" s="805" t="s">
        <v>10</v>
      </c>
      <c r="K52" s="805"/>
      <c r="L52" s="805"/>
      <c r="M52" s="805"/>
      <c r="N52" s="805"/>
      <c r="O52" s="805"/>
      <c r="P52" s="805"/>
      <c r="Q52" s="260"/>
      <c r="R52" s="766" t="s">
        <v>11</v>
      </c>
      <c r="S52" s="766" t="s">
        <v>12</v>
      </c>
      <c r="T52" s="305"/>
      <c r="U52" s="816" t="s">
        <v>1240</v>
      </c>
      <c r="V52" s="790" t="s">
        <v>18</v>
      </c>
      <c r="W52" s="791" t="s">
        <v>37</v>
      </c>
      <c r="X52" s="792"/>
      <c r="Y52" s="792"/>
      <c r="Z52" s="792"/>
      <c r="AA52" s="792"/>
      <c r="AB52" s="792"/>
      <c r="AC52" s="767"/>
      <c r="AD52" s="330"/>
      <c r="AE52" s="766" t="s">
        <v>37</v>
      </c>
      <c r="AF52" s="791" t="s">
        <v>38</v>
      </c>
      <c r="AG52" s="792"/>
      <c r="AH52" s="792"/>
      <c r="AI52" s="792"/>
      <c r="AJ52" s="792"/>
      <c r="AK52" s="792"/>
      <c r="AL52" s="792"/>
      <c r="AM52" s="767"/>
      <c r="AN52" s="766" t="s">
        <v>38</v>
      </c>
      <c r="AO52" s="766" t="s">
        <v>39</v>
      </c>
      <c r="AP52" s="790" t="s">
        <v>40</v>
      </c>
      <c r="AQ52" s="790" t="s">
        <v>18</v>
      </c>
      <c r="AR52" s="32"/>
    </row>
    <row r="53" spans="1:43" ht="15">
      <c r="A53" s="790"/>
      <c r="B53" s="790"/>
      <c r="C53" s="784"/>
      <c r="D53" s="785"/>
      <c r="E53" s="15" t="s">
        <v>4</v>
      </c>
      <c r="F53" s="15" t="s">
        <v>5</v>
      </c>
      <c r="G53" s="15" t="s">
        <v>6</v>
      </c>
      <c r="H53" s="15" t="s">
        <v>7</v>
      </c>
      <c r="I53" s="766"/>
      <c r="J53" s="15" t="s">
        <v>20</v>
      </c>
      <c r="K53" s="260"/>
      <c r="L53" s="15" t="s">
        <v>21</v>
      </c>
      <c r="M53" s="260"/>
      <c r="N53" s="15" t="s">
        <v>22</v>
      </c>
      <c r="O53" s="260"/>
      <c r="P53" s="15" t="s">
        <v>23</v>
      </c>
      <c r="Q53" s="260"/>
      <c r="R53" s="766"/>
      <c r="S53" s="766"/>
      <c r="T53" s="306"/>
      <c r="U53" s="817"/>
      <c r="V53" s="790"/>
      <c r="W53" s="329" t="s">
        <v>1268</v>
      </c>
      <c r="X53" s="319" t="s">
        <v>1269</v>
      </c>
      <c r="Y53" s="329" t="s">
        <v>1280</v>
      </c>
      <c r="Z53" s="319" t="s">
        <v>1281</v>
      </c>
      <c r="AA53" s="329" t="s">
        <v>1270</v>
      </c>
      <c r="AB53" s="319" t="s">
        <v>1271</v>
      </c>
      <c r="AC53" s="329" t="s">
        <v>1272</v>
      </c>
      <c r="AD53" s="319" t="s">
        <v>1273</v>
      </c>
      <c r="AE53" s="767"/>
      <c r="AF53" s="329" t="s">
        <v>1274</v>
      </c>
      <c r="AG53" s="319" t="s">
        <v>1282</v>
      </c>
      <c r="AH53" s="329" t="s">
        <v>1283</v>
      </c>
      <c r="AI53" s="319" t="s">
        <v>1275</v>
      </c>
      <c r="AJ53" s="329" t="s">
        <v>1284</v>
      </c>
      <c r="AK53" s="319" t="s">
        <v>1285</v>
      </c>
      <c r="AL53" s="329" t="s">
        <v>1286</v>
      </c>
      <c r="AM53" s="319" t="s">
        <v>1287</v>
      </c>
      <c r="AN53" s="766"/>
      <c r="AO53" s="766"/>
      <c r="AP53" s="790"/>
      <c r="AQ53" s="790"/>
    </row>
    <row r="54" spans="1:43" ht="15">
      <c r="A54" s="21">
        <v>1</v>
      </c>
      <c r="B54" s="21" t="s">
        <v>50</v>
      </c>
      <c r="C54" s="805" t="s">
        <v>64</v>
      </c>
      <c r="D54" s="805"/>
      <c r="E54" s="26"/>
      <c r="F54" s="26"/>
      <c r="G54" s="26"/>
      <c r="H54" s="26"/>
      <c r="I54" s="26">
        <f aca="true" t="shared" si="18" ref="I54:AQ54">I48</f>
        <v>534742.4082</v>
      </c>
      <c r="J54" s="26">
        <f t="shared" si="18"/>
        <v>918782.962</v>
      </c>
      <c r="K54" s="26"/>
      <c r="L54" s="26">
        <f t="shared" si="18"/>
        <v>582619.3753333334</v>
      </c>
      <c r="M54" s="26"/>
      <c r="N54" s="26">
        <f t="shared" si="18"/>
        <v>428559.37533333333</v>
      </c>
      <c r="O54" s="26"/>
      <c r="P54" s="26">
        <f t="shared" si="18"/>
        <v>345544.37533333333</v>
      </c>
      <c r="Q54" s="26"/>
      <c r="R54" s="26">
        <f t="shared" si="18"/>
        <v>2275506.088</v>
      </c>
      <c r="S54" s="26">
        <f t="shared" si="18"/>
        <v>2810248.4962</v>
      </c>
      <c r="T54" s="26"/>
      <c r="U54" s="26">
        <f t="shared" si="18"/>
        <v>2006940.32966</v>
      </c>
      <c r="V54" s="314">
        <f t="shared" si="18"/>
        <v>0.7141504861131576</v>
      </c>
      <c r="W54" s="26">
        <f t="shared" si="18"/>
        <v>532946.986</v>
      </c>
      <c r="X54" s="26"/>
      <c r="Y54" s="26">
        <f t="shared" si="18"/>
        <v>838965.611</v>
      </c>
      <c r="Z54" s="26"/>
      <c r="AA54" s="26">
        <f t="shared" si="18"/>
        <v>520056.361</v>
      </c>
      <c r="AB54" s="26"/>
      <c r="AC54" s="26">
        <f t="shared" si="18"/>
        <v>436079.611</v>
      </c>
      <c r="AD54" s="26"/>
      <c r="AE54" s="381">
        <f>W54+Y54+AA54+AC54</f>
        <v>2328048.569</v>
      </c>
      <c r="AF54" s="26">
        <f>AF48</f>
        <v>516997.1103</v>
      </c>
      <c r="AG54" s="26"/>
      <c r="AH54" s="26">
        <f>AH48</f>
        <v>731917.5853</v>
      </c>
      <c r="AI54" s="26"/>
      <c r="AJ54" s="26">
        <f>AJ48</f>
        <v>498708.6478</v>
      </c>
      <c r="AK54" s="26"/>
      <c r="AL54" s="26">
        <f>AL48</f>
        <v>403296.57279999997</v>
      </c>
      <c r="AM54" s="26"/>
      <c r="AN54" s="26">
        <f t="shared" si="18"/>
        <v>2150919.9162</v>
      </c>
      <c r="AO54" s="26">
        <f t="shared" si="18"/>
        <v>799406.0719999999</v>
      </c>
      <c r="AP54" s="26">
        <f t="shared" si="18"/>
        <v>7285314.886860001</v>
      </c>
      <c r="AQ54" s="26">
        <f t="shared" si="18"/>
        <v>1</v>
      </c>
    </row>
    <row r="55" spans="1:43" ht="15">
      <c r="A55" s="21">
        <v>2</v>
      </c>
      <c r="B55" s="21" t="s">
        <v>52</v>
      </c>
      <c r="C55" s="805"/>
      <c r="D55" s="805"/>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1:43" ht="15">
      <c r="A56" s="21">
        <v>3</v>
      </c>
      <c r="B56" s="21" t="s">
        <v>52</v>
      </c>
      <c r="C56" s="805"/>
      <c r="D56" s="805"/>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1:43" ht="15.75" thickBot="1">
      <c r="A57" s="777" t="s">
        <v>36</v>
      </c>
      <c r="B57" s="778"/>
      <c r="C57" s="778"/>
      <c r="D57" s="779"/>
      <c r="E57" s="27">
        <f>SUM(E54:E56)</f>
        <v>0</v>
      </c>
      <c r="F57" s="27">
        <f aca="true" t="shared" si="19" ref="F57:AQ57">SUM(F54:F56)</f>
        <v>0</v>
      </c>
      <c r="G57" s="27">
        <f t="shared" si="19"/>
        <v>0</v>
      </c>
      <c r="H57" s="27">
        <f t="shared" si="19"/>
        <v>0</v>
      </c>
      <c r="I57" s="27">
        <f t="shared" si="19"/>
        <v>534742.4082</v>
      </c>
      <c r="J57" s="27">
        <f t="shared" si="19"/>
        <v>918782.962</v>
      </c>
      <c r="K57" s="27"/>
      <c r="L57" s="27">
        <f t="shared" si="19"/>
        <v>582619.3753333334</v>
      </c>
      <c r="M57" s="27"/>
      <c r="N57" s="27">
        <f t="shared" si="19"/>
        <v>428559.37533333333</v>
      </c>
      <c r="O57" s="27"/>
      <c r="P57" s="27">
        <f t="shared" si="19"/>
        <v>345544.37533333333</v>
      </c>
      <c r="Q57" s="27"/>
      <c r="R57" s="27">
        <f t="shared" si="19"/>
        <v>2275506.088</v>
      </c>
      <c r="S57" s="27">
        <f t="shared" si="19"/>
        <v>2810248.4962</v>
      </c>
      <c r="T57" s="27"/>
      <c r="U57" s="27">
        <f t="shared" si="19"/>
        <v>2006940.32966</v>
      </c>
      <c r="V57" s="315">
        <f t="shared" si="19"/>
        <v>0.7141504861131576</v>
      </c>
      <c r="W57" s="27">
        <f t="shared" si="19"/>
        <v>532946.986</v>
      </c>
      <c r="X57" s="27"/>
      <c r="Y57" s="27">
        <f t="shared" si="19"/>
        <v>838965.611</v>
      </c>
      <c r="Z57" s="27"/>
      <c r="AA57" s="27">
        <f t="shared" si="19"/>
        <v>520056.361</v>
      </c>
      <c r="AB57" s="27"/>
      <c r="AC57" s="27">
        <f t="shared" si="19"/>
        <v>436079.611</v>
      </c>
      <c r="AD57" s="27"/>
      <c r="AE57" s="310">
        <f>SUM(AE54:AE56)</f>
        <v>2328048.569</v>
      </c>
      <c r="AF57" s="27">
        <f aca="true" t="shared" si="20" ref="AF57:AN57">SUM(AF54:AF56)</f>
        <v>516997.1103</v>
      </c>
      <c r="AG57" s="27"/>
      <c r="AH57" s="27">
        <f t="shared" si="20"/>
        <v>731917.5853</v>
      </c>
      <c r="AI57" s="27"/>
      <c r="AJ57" s="27">
        <f t="shared" si="20"/>
        <v>498708.6478</v>
      </c>
      <c r="AK57" s="27"/>
      <c r="AL57" s="27">
        <f t="shared" si="20"/>
        <v>403296.57279999997</v>
      </c>
      <c r="AM57" s="27"/>
      <c r="AN57" s="27">
        <f t="shared" si="20"/>
        <v>2150919.9162</v>
      </c>
      <c r="AO57" s="27">
        <f t="shared" si="19"/>
        <v>799406.0719999999</v>
      </c>
      <c r="AP57" s="27">
        <f t="shared" si="19"/>
        <v>7285314.886860001</v>
      </c>
      <c r="AQ57" s="27">
        <f t="shared" si="19"/>
        <v>1</v>
      </c>
    </row>
    <row r="58" spans="1:43"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ht="15">
      <c r="A62" s="3"/>
      <c r="B62" s="3"/>
      <c r="C62" s="3"/>
      <c r="D62" s="3"/>
      <c r="E62" s="3"/>
      <c r="F62" s="3"/>
      <c r="G62" s="3"/>
      <c r="H62" s="3"/>
      <c r="I62" s="262"/>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sheetData>
  <sheetProtection/>
  <mergeCells count="96">
    <mergeCell ref="AF33:AM33"/>
    <mergeCell ref="AF52:AM52"/>
    <mergeCell ref="AE52:AE53"/>
    <mergeCell ref="W52:AC52"/>
    <mergeCell ref="AE14:AE15"/>
    <mergeCell ref="W14:AD14"/>
    <mergeCell ref="W33:AD33"/>
    <mergeCell ref="AE33:AE34"/>
    <mergeCell ref="S52:S53"/>
    <mergeCell ref="V52:V53"/>
    <mergeCell ref="U52:U53"/>
    <mergeCell ref="B52:B53"/>
    <mergeCell ref="C52:D53"/>
    <mergeCell ref="A4:B4"/>
    <mergeCell ref="B33:B34"/>
    <mergeCell ref="C47:D47"/>
    <mergeCell ref="C36:D36"/>
    <mergeCell ref="B14:D15"/>
    <mergeCell ref="I52:I53"/>
    <mergeCell ref="A5:B5"/>
    <mergeCell ref="AP52:AP53"/>
    <mergeCell ref="B21:D21"/>
    <mergeCell ref="B26:D26"/>
    <mergeCell ref="B27:D27"/>
    <mergeCell ref="J33:P33"/>
    <mergeCell ref="A9:D9"/>
    <mergeCell ref="A10:D10"/>
    <mergeCell ref="T14:T15"/>
    <mergeCell ref="A1:B1"/>
    <mergeCell ref="C44:D44"/>
    <mergeCell ref="C45:D45"/>
    <mergeCell ref="C46:D46"/>
    <mergeCell ref="A3:B3"/>
    <mergeCell ref="E52:H52"/>
    <mergeCell ref="A14:A15"/>
    <mergeCell ref="B23:D23"/>
    <mergeCell ref="A6:B6"/>
    <mergeCell ref="A8:D8"/>
    <mergeCell ref="AQ52:AQ53"/>
    <mergeCell ref="A57:D57"/>
    <mergeCell ref="C54:D54"/>
    <mergeCell ref="C55:D55"/>
    <mergeCell ref="C56:D56"/>
    <mergeCell ref="J52:P52"/>
    <mergeCell ref="AN52:AN53"/>
    <mergeCell ref="AO52:AO53"/>
    <mergeCell ref="R52:R53"/>
    <mergeCell ref="A52:A53"/>
    <mergeCell ref="C49:D49"/>
    <mergeCell ref="V33:V34"/>
    <mergeCell ref="I33:I34"/>
    <mergeCell ref="E33:H33"/>
    <mergeCell ref="E14:H14"/>
    <mergeCell ref="I14:I15"/>
    <mergeCell ref="J14:P14"/>
    <mergeCell ref="R14:R15"/>
    <mergeCell ref="S14:S15"/>
    <mergeCell ref="T33:T34"/>
    <mergeCell ref="A48:D48"/>
    <mergeCell ref="AN33:AN34"/>
    <mergeCell ref="AO33:AO34"/>
    <mergeCell ref="AP33:AP34"/>
    <mergeCell ref="AQ33:AQ34"/>
    <mergeCell ref="B19:D19"/>
    <mergeCell ref="B24:D24"/>
    <mergeCell ref="B25:D25"/>
    <mergeCell ref="U33:U34"/>
    <mergeCell ref="A33:A34"/>
    <mergeCell ref="AN14:AN15"/>
    <mergeCell ref="AO14:AO15"/>
    <mergeCell ref="AP14:AP15"/>
    <mergeCell ref="AQ14:AQ15"/>
    <mergeCell ref="AF14:AM14"/>
    <mergeCell ref="B16:D16"/>
    <mergeCell ref="V14:V15"/>
    <mergeCell ref="U14:U15"/>
    <mergeCell ref="B17:D17"/>
    <mergeCell ref="B18:D18"/>
    <mergeCell ref="C43:D43"/>
    <mergeCell ref="C41:D41"/>
    <mergeCell ref="C42:D42"/>
    <mergeCell ref="C39:D39"/>
    <mergeCell ref="C37:D37"/>
    <mergeCell ref="C38:D38"/>
    <mergeCell ref="B20:D20"/>
    <mergeCell ref="B22:D22"/>
    <mergeCell ref="R33:R34"/>
    <mergeCell ref="S33:S34"/>
    <mergeCell ref="P8:Q8"/>
    <mergeCell ref="P9:Q9"/>
    <mergeCell ref="P10:Q10"/>
    <mergeCell ref="C40:D40"/>
    <mergeCell ref="B28:D28"/>
    <mergeCell ref="A29:D29"/>
    <mergeCell ref="C35:D35"/>
    <mergeCell ref="C33:D34"/>
  </mergeCells>
  <printOptions/>
  <pageMargins left="0.7500000000000001" right="0.7500000000000001" top="1" bottom="1" header="0.3031496062992126" footer="0.5"/>
  <pageSetup fitToHeight="1" fitToWidth="1" orientation="landscape" paperSize="9" scale="42"/>
</worksheet>
</file>

<file path=xl/worksheets/sheet20.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9.140625" defaultRowHeight="15"/>
  <cols>
    <col min="1" max="3" width="9.140625" style="1" customWidth="1"/>
    <col min="4" max="4" width="36.421875" style="1" bestFit="1" customWidth="1"/>
    <col min="5" max="17" width="9.140625" style="1" customWidth="1"/>
    <col min="18" max="18" width="25.421875" style="1" customWidth="1"/>
    <col min="19" max="16384" width="9.140625" style="1" customWidth="1"/>
  </cols>
  <sheetData>
    <row r="2" spans="1:18" ht="13.5">
      <c r="A2" s="331"/>
      <c r="B2" s="331"/>
      <c r="C2" s="331"/>
      <c r="D2" s="331"/>
      <c r="E2" s="331"/>
      <c r="F2" s="331"/>
      <c r="G2" s="331"/>
      <c r="H2" s="331"/>
      <c r="I2" s="331"/>
      <c r="J2" s="331"/>
      <c r="K2" s="331"/>
      <c r="L2" s="331"/>
      <c r="M2" s="331"/>
      <c r="N2" s="331"/>
      <c r="O2" s="331"/>
      <c r="P2" s="331"/>
      <c r="Q2" s="331"/>
      <c r="R2" s="331"/>
    </row>
    <row r="3" spans="1:18" ht="13.5">
      <c r="A3" s="331"/>
      <c r="B3" s="331"/>
      <c r="C3" s="331"/>
      <c r="D3" s="331"/>
      <c r="E3" s="335"/>
      <c r="F3" s="829" t="s">
        <v>1245</v>
      </c>
      <c r="G3" s="830"/>
      <c r="H3" s="830"/>
      <c r="I3" s="830" t="s">
        <v>1246</v>
      </c>
      <c r="J3" s="830"/>
      <c r="K3" s="830"/>
      <c r="L3" s="830" t="s">
        <v>1247</v>
      </c>
      <c r="M3" s="830"/>
      <c r="N3" s="830"/>
      <c r="O3" s="830" t="s">
        <v>1248</v>
      </c>
      <c r="P3" s="830"/>
      <c r="Q3" s="830"/>
      <c r="R3" s="331"/>
    </row>
    <row r="4" spans="1:18" ht="13.5">
      <c r="A4" s="842"/>
      <c r="B4" s="843"/>
      <c r="C4" s="843"/>
      <c r="D4" s="829"/>
      <c r="E4" s="396" t="s">
        <v>799</v>
      </c>
      <c r="F4" s="396" t="s">
        <v>1250</v>
      </c>
      <c r="G4" s="396" t="s">
        <v>1251</v>
      </c>
      <c r="H4" s="396" t="s">
        <v>1252</v>
      </c>
      <c r="I4" s="396" t="s">
        <v>1253</v>
      </c>
      <c r="J4" s="396" t="s">
        <v>1254</v>
      </c>
      <c r="K4" s="396" t="s">
        <v>1255</v>
      </c>
      <c r="L4" s="396" t="s">
        <v>1256</v>
      </c>
      <c r="M4" s="396" t="s">
        <v>1257</v>
      </c>
      <c r="N4" s="396" t="s">
        <v>1258</v>
      </c>
      <c r="O4" s="396" t="s">
        <v>1259</v>
      </c>
      <c r="P4" s="396" t="s">
        <v>1260</v>
      </c>
      <c r="Q4" s="396" t="s">
        <v>1261</v>
      </c>
      <c r="R4" s="448"/>
    </row>
    <row r="5" spans="1:18" ht="13.5">
      <c r="A5" s="300" t="s">
        <v>540</v>
      </c>
      <c r="B5" s="300" t="s">
        <v>1343</v>
      </c>
      <c r="C5" s="300" t="s">
        <v>522</v>
      </c>
      <c r="D5" s="449" t="s">
        <v>1344</v>
      </c>
      <c r="E5" s="450">
        <f>SUM(F5:Q5)</f>
        <v>4800</v>
      </c>
      <c r="F5" s="341">
        <v>0</v>
      </c>
      <c r="G5" s="341">
        <v>0</v>
      </c>
      <c r="H5" s="341">
        <v>0</v>
      </c>
      <c r="I5" s="341">
        <v>0</v>
      </c>
      <c r="J5" s="341">
        <v>1200</v>
      </c>
      <c r="K5" s="341">
        <v>0</v>
      </c>
      <c r="L5" s="341">
        <v>800</v>
      </c>
      <c r="M5" s="341">
        <v>1200</v>
      </c>
      <c r="N5" s="341">
        <v>800</v>
      </c>
      <c r="O5" s="341">
        <v>800</v>
      </c>
      <c r="P5" s="341">
        <v>0</v>
      </c>
      <c r="Q5" s="341">
        <v>0</v>
      </c>
      <c r="R5" s="451" t="s">
        <v>1345</v>
      </c>
    </row>
    <row r="6" spans="1:18" ht="13.5">
      <c r="A6" s="300" t="s">
        <v>540</v>
      </c>
      <c r="B6" s="300" t="s">
        <v>1343</v>
      </c>
      <c r="C6" s="300" t="s">
        <v>524</v>
      </c>
      <c r="D6" s="452" t="s">
        <v>1346</v>
      </c>
      <c r="E6" s="453">
        <f aca="true" t="shared" si="0" ref="E6:E12">SUM(F6:Q6)</f>
        <v>44000</v>
      </c>
      <c r="F6" s="351">
        <v>0</v>
      </c>
      <c r="G6" s="351">
        <v>1600</v>
      </c>
      <c r="H6" s="351">
        <v>6800</v>
      </c>
      <c r="I6" s="351">
        <v>0</v>
      </c>
      <c r="J6" s="351">
        <v>6800</v>
      </c>
      <c r="K6" s="351">
        <v>1600</v>
      </c>
      <c r="L6" s="351">
        <v>0</v>
      </c>
      <c r="M6" s="351">
        <v>6800</v>
      </c>
      <c r="N6" s="351">
        <v>6800</v>
      </c>
      <c r="O6" s="351">
        <v>6800</v>
      </c>
      <c r="P6" s="351">
        <v>0</v>
      </c>
      <c r="Q6" s="351">
        <v>6800</v>
      </c>
      <c r="R6" s="454" t="s">
        <v>1345</v>
      </c>
    </row>
    <row r="7" spans="1:18" ht="13.5">
      <c r="A7" s="300" t="s">
        <v>540</v>
      </c>
      <c r="B7" s="300" t="s">
        <v>1343</v>
      </c>
      <c r="C7" s="300" t="s">
        <v>526</v>
      </c>
      <c r="D7" s="455" t="s">
        <v>1346</v>
      </c>
      <c r="E7" s="456">
        <f t="shared" si="0"/>
        <v>30750</v>
      </c>
      <c r="F7" s="457"/>
      <c r="G7" s="457">
        <v>0</v>
      </c>
      <c r="H7" s="457">
        <v>800</v>
      </c>
      <c r="I7" s="457">
        <v>3950</v>
      </c>
      <c r="J7" s="457">
        <v>0</v>
      </c>
      <c r="K7" s="457">
        <v>3950</v>
      </c>
      <c r="L7" s="457">
        <v>0</v>
      </c>
      <c r="M7" s="457">
        <v>0</v>
      </c>
      <c r="N7" s="457">
        <v>5925</v>
      </c>
      <c r="O7" s="457">
        <v>9525</v>
      </c>
      <c r="P7" s="457">
        <v>0</v>
      </c>
      <c r="Q7" s="457">
        <v>6600</v>
      </c>
      <c r="R7" s="458" t="s">
        <v>1345</v>
      </c>
    </row>
    <row r="8" spans="1:18" ht="13.5">
      <c r="A8" s="459" t="s">
        <v>540</v>
      </c>
      <c r="B8" s="459" t="s">
        <v>546</v>
      </c>
      <c r="C8" s="459" t="s">
        <v>522</v>
      </c>
      <c r="D8" s="460" t="s">
        <v>1347</v>
      </c>
      <c r="E8" s="450">
        <f t="shared" si="0"/>
        <v>2275</v>
      </c>
      <c r="F8" s="341">
        <v>0</v>
      </c>
      <c r="G8" s="341">
        <f>SUM('[3]MDA'!G11:G13)</f>
        <v>2275</v>
      </c>
      <c r="H8" s="341">
        <v>0</v>
      </c>
      <c r="I8" s="341">
        <v>0</v>
      </c>
      <c r="J8" s="341">
        <v>0</v>
      </c>
      <c r="K8" s="341">
        <v>0</v>
      </c>
      <c r="L8" s="341">
        <v>0</v>
      </c>
      <c r="M8" s="341">
        <v>0</v>
      </c>
      <c r="N8" s="341">
        <v>0</v>
      </c>
      <c r="O8" s="341">
        <v>0</v>
      </c>
      <c r="P8" s="341">
        <v>0</v>
      </c>
      <c r="Q8" s="341">
        <v>0</v>
      </c>
      <c r="R8" s="461" t="s">
        <v>1348</v>
      </c>
    </row>
    <row r="9" spans="1:18" ht="13.5">
      <c r="A9" s="300" t="s">
        <v>540</v>
      </c>
      <c r="B9" s="300" t="s">
        <v>546</v>
      </c>
      <c r="C9" s="300" t="s">
        <v>524</v>
      </c>
      <c r="D9" s="462" t="s">
        <v>1347</v>
      </c>
      <c r="E9" s="453">
        <f t="shared" si="0"/>
        <v>28500</v>
      </c>
      <c r="F9" s="351">
        <v>0</v>
      </c>
      <c r="G9" s="351">
        <v>0</v>
      </c>
      <c r="H9" s="351">
        <f>SUM('[3]MDA'!O27:O29)</f>
        <v>9500</v>
      </c>
      <c r="I9" s="351">
        <v>0</v>
      </c>
      <c r="J9" s="351">
        <f>SUM('[3]MDA'!G28:G30)</f>
        <v>9500</v>
      </c>
      <c r="K9" s="351">
        <v>0</v>
      </c>
      <c r="L9" s="351">
        <v>0</v>
      </c>
      <c r="M9" s="351">
        <v>0</v>
      </c>
      <c r="N9" s="351">
        <v>0</v>
      </c>
      <c r="O9" s="351">
        <v>0</v>
      </c>
      <c r="P9" s="351">
        <f>SUM('[3]MDA'!O27:O29)</f>
        <v>9500</v>
      </c>
      <c r="Q9" s="351">
        <v>0</v>
      </c>
      <c r="R9" s="463" t="s">
        <v>1348</v>
      </c>
    </row>
    <row r="10" spans="1:18" ht="13.5">
      <c r="A10" s="300" t="s">
        <v>540</v>
      </c>
      <c r="B10" s="300" t="s">
        <v>546</v>
      </c>
      <c r="C10" s="300" t="s">
        <v>526</v>
      </c>
      <c r="D10" s="462" t="s">
        <v>1347</v>
      </c>
      <c r="E10" s="453">
        <f t="shared" si="0"/>
        <v>8600</v>
      </c>
      <c r="F10" s="351">
        <v>0</v>
      </c>
      <c r="G10" s="351">
        <v>0</v>
      </c>
      <c r="H10" s="351">
        <v>0</v>
      </c>
      <c r="I10" s="464">
        <v>0</v>
      </c>
      <c r="J10" s="351">
        <f>SUM('[3]MDA'!O44:O46)</f>
        <v>8600</v>
      </c>
      <c r="K10" s="351">
        <v>0</v>
      </c>
      <c r="L10" s="351">
        <v>0</v>
      </c>
      <c r="M10" s="351">
        <v>0</v>
      </c>
      <c r="N10" s="351">
        <v>0</v>
      </c>
      <c r="O10" s="351">
        <v>0</v>
      </c>
      <c r="P10" s="351">
        <v>0</v>
      </c>
      <c r="Q10" s="351">
        <v>0</v>
      </c>
      <c r="R10" s="463" t="s">
        <v>1348</v>
      </c>
    </row>
    <row r="11" spans="1:18" ht="13.5">
      <c r="A11" s="300" t="s">
        <v>540</v>
      </c>
      <c r="B11" s="300" t="s">
        <v>546</v>
      </c>
      <c r="C11" s="300" t="s">
        <v>1263</v>
      </c>
      <c r="D11" s="462" t="s">
        <v>1347</v>
      </c>
      <c r="E11" s="453">
        <f t="shared" si="0"/>
        <v>8875</v>
      </c>
      <c r="F11" s="351">
        <v>0</v>
      </c>
      <c r="G11" s="351">
        <v>0</v>
      </c>
      <c r="H11" s="351">
        <v>0</v>
      </c>
      <c r="I11" s="351">
        <f>SUM('[3]MDA'!O11:O13)</f>
        <v>8875</v>
      </c>
      <c r="J11" s="464">
        <v>0</v>
      </c>
      <c r="K11" s="351">
        <v>0</v>
      </c>
      <c r="L11" s="351">
        <v>0</v>
      </c>
      <c r="M11" s="351">
        <v>0</v>
      </c>
      <c r="N11" s="351">
        <v>0</v>
      </c>
      <c r="O11" s="351">
        <v>0</v>
      </c>
      <c r="P11" s="351">
        <v>0</v>
      </c>
      <c r="Q11" s="351">
        <v>0</v>
      </c>
      <c r="R11" s="463" t="s">
        <v>1348</v>
      </c>
    </row>
    <row r="12" spans="1:18" ht="13.5">
      <c r="A12" s="465" t="s">
        <v>540</v>
      </c>
      <c r="B12" s="465" t="s">
        <v>546</v>
      </c>
      <c r="C12" s="465" t="s">
        <v>0</v>
      </c>
      <c r="D12" s="466" t="s">
        <v>1347</v>
      </c>
      <c r="E12" s="467">
        <f t="shared" si="0"/>
        <v>30500</v>
      </c>
      <c r="F12" s="468">
        <v>0</v>
      </c>
      <c r="G12" s="468">
        <v>0</v>
      </c>
      <c r="H12" s="468">
        <v>0</v>
      </c>
      <c r="I12" s="468">
        <v>0</v>
      </c>
      <c r="J12" s="468">
        <f>SUM('[3]MDA'!G45:G47)+'[3]MDA'!G38</f>
        <v>15250</v>
      </c>
      <c r="K12" s="468">
        <f>SUM('[3]MDA'!G45:G47)+'[3]MDA'!G38</f>
        <v>15250</v>
      </c>
      <c r="L12" s="468">
        <v>0</v>
      </c>
      <c r="M12" s="468">
        <v>0</v>
      </c>
      <c r="N12" s="468">
        <v>0</v>
      </c>
      <c r="O12" s="468">
        <v>0</v>
      </c>
      <c r="P12" s="468">
        <v>0</v>
      </c>
      <c r="Q12" s="468">
        <v>0</v>
      </c>
      <c r="R12" s="463" t="s">
        <v>1348</v>
      </c>
    </row>
    <row r="15" ht="13.5">
      <c r="A15" s="469"/>
    </row>
  </sheetData>
  <sheetProtection/>
  <mergeCells count="5">
    <mergeCell ref="F3:H3"/>
    <mergeCell ref="I3:K3"/>
    <mergeCell ref="L3:N3"/>
    <mergeCell ref="O3:Q3"/>
    <mergeCell ref="A4:D4"/>
  </mergeCells>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A2:O49"/>
  <sheetViews>
    <sheetView workbookViewId="0" topLeftCell="A1">
      <selection activeCell="H14" sqref="H14"/>
    </sheetView>
  </sheetViews>
  <sheetFormatPr defaultColWidth="9.140625" defaultRowHeight="15"/>
  <cols>
    <col min="1" max="2" width="9.140625" style="1" customWidth="1"/>
    <col min="3" max="3" width="27.8515625" style="1" customWidth="1"/>
    <col min="4" max="5" width="9.140625" style="1" customWidth="1"/>
    <col min="6" max="6" width="9.140625" style="418" customWidth="1"/>
    <col min="7" max="7" width="12.140625" style="418" bestFit="1" customWidth="1"/>
    <col min="8" max="10" width="9.140625" style="1" customWidth="1"/>
    <col min="11" max="11" width="19.7109375" style="1" customWidth="1"/>
    <col min="12" max="16384" width="9.140625" style="1" customWidth="1"/>
  </cols>
  <sheetData>
    <row r="2" spans="1:15" ht="13.5">
      <c r="A2" s="869" t="s">
        <v>1307</v>
      </c>
      <c r="B2" s="869"/>
      <c r="C2" s="869"/>
      <c r="D2" s="869"/>
      <c r="E2" s="869"/>
      <c r="F2" s="869"/>
      <c r="G2" s="869"/>
      <c r="I2" s="869" t="s">
        <v>1308</v>
      </c>
      <c r="J2" s="869"/>
      <c r="K2" s="869"/>
      <c r="L2" s="869"/>
      <c r="M2" s="869"/>
      <c r="N2" s="869"/>
      <c r="O2" s="869"/>
    </row>
    <row r="3" spans="14:15" ht="13.5">
      <c r="N3" s="418"/>
      <c r="O3" s="418"/>
    </row>
    <row r="4" spans="1:15" ht="24">
      <c r="A4" s="419" t="s">
        <v>1309</v>
      </c>
      <c r="B4" s="419" t="s">
        <v>82</v>
      </c>
      <c r="C4" s="419" t="s">
        <v>802</v>
      </c>
      <c r="D4" s="419" t="s">
        <v>179</v>
      </c>
      <c r="E4" s="419" t="s">
        <v>1310</v>
      </c>
      <c r="F4" s="420" t="s">
        <v>84</v>
      </c>
      <c r="G4" s="420" t="s">
        <v>1311</v>
      </c>
      <c r="I4" s="419" t="s">
        <v>1309</v>
      </c>
      <c r="J4" s="419" t="s">
        <v>82</v>
      </c>
      <c r="K4" s="419" t="s">
        <v>802</v>
      </c>
      <c r="L4" s="419" t="s">
        <v>179</v>
      </c>
      <c r="M4" s="419" t="s">
        <v>1310</v>
      </c>
      <c r="N4" s="420" t="s">
        <v>84</v>
      </c>
      <c r="O4" s="420" t="s">
        <v>1311</v>
      </c>
    </row>
    <row r="5" spans="1:15" ht="24" customHeight="1">
      <c r="A5" s="421" t="s">
        <v>1312</v>
      </c>
      <c r="B5" s="422" t="s">
        <v>546</v>
      </c>
      <c r="C5" s="423" t="s">
        <v>1313</v>
      </c>
      <c r="D5" s="424">
        <v>1</v>
      </c>
      <c r="E5" s="424">
        <v>1</v>
      </c>
      <c r="F5" s="425">
        <v>1500</v>
      </c>
      <c r="G5" s="426">
        <f aca="true" t="shared" si="0" ref="G5:G14">D5*E5*F5</f>
        <v>1500</v>
      </c>
      <c r="I5" s="421" t="s">
        <v>1312</v>
      </c>
      <c r="J5" s="422" t="s">
        <v>546</v>
      </c>
      <c r="K5" s="423" t="s">
        <v>1313</v>
      </c>
      <c r="L5" s="424">
        <v>1</v>
      </c>
      <c r="M5" s="424">
        <v>1</v>
      </c>
      <c r="N5" s="425">
        <v>1500</v>
      </c>
      <c r="O5" s="426">
        <f aca="true" t="shared" si="1" ref="O5:O14">L5*M5*N5</f>
        <v>1500</v>
      </c>
    </row>
    <row r="6" spans="1:15" ht="24">
      <c r="A6" s="421" t="s">
        <v>1314</v>
      </c>
      <c r="B6" s="422" t="s">
        <v>546</v>
      </c>
      <c r="C6" s="423" t="s">
        <v>1315</v>
      </c>
      <c r="D6" s="424">
        <v>2</v>
      </c>
      <c r="E6" s="424">
        <v>2</v>
      </c>
      <c r="F6" s="425">
        <v>250</v>
      </c>
      <c r="G6" s="426">
        <f t="shared" si="0"/>
        <v>1000</v>
      </c>
      <c r="I6" s="421" t="s">
        <v>1314</v>
      </c>
      <c r="J6" s="422" t="s">
        <v>546</v>
      </c>
      <c r="K6" s="423" t="s">
        <v>1315</v>
      </c>
      <c r="L6" s="424">
        <v>2</v>
      </c>
      <c r="M6" s="424">
        <v>2</v>
      </c>
      <c r="N6" s="425">
        <v>250</v>
      </c>
      <c r="O6" s="426">
        <f t="shared" si="1"/>
        <v>1000</v>
      </c>
    </row>
    <row r="7" spans="1:15" ht="24" customHeight="1">
      <c r="A7" s="421" t="s">
        <v>1314</v>
      </c>
      <c r="B7" s="422" t="s">
        <v>546</v>
      </c>
      <c r="C7" s="423" t="s">
        <v>1316</v>
      </c>
      <c r="D7" s="424">
        <v>1</v>
      </c>
      <c r="E7" s="424">
        <v>20</v>
      </c>
      <c r="F7" s="427">
        <v>50</v>
      </c>
      <c r="G7" s="426">
        <f t="shared" si="0"/>
        <v>1000</v>
      </c>
      <c r="I7" s="421" t="s">
        <v>1314</v>
      </c>
      <c r="J7" s="422" t="s">
        <v>546</v>
      </c>
      <c r="K7" s="423" t="s">
        <v>1316</v>
      </c>
      <c r="L7" s="424">
        <v>1</v>
      </c>
      <c r="M7" s="424">
        <v>30</v>
      </c>
      <c r="N7" s="427">
        <v>50</v>
      </c>
      <c r="O7" s="426">
        <f t="shared" si="1"/>
        <v>1500</v>
      </c>
    </row>
    <row r="8" spans="1:15" ht="24" customHeight="1">
      <c r="A8" s="421" t="s">
        <v>1314</v>
      </c>
      <c r="B8" s="422" t="s">
        <v>546</v>
      </c>
      <c r="C8" s="423" t="s">
        <v>1317</v>
      </c>
      <c r="D8" s="428">
        <v>2</v>
      </c>
      <c r="E8" s="428">
        <v>20</v>
      </c>
      <c r="F8" s="429">
        <v>30</v>
      </c>
      <c r="G8" s="430">
        <f t="shared" si="0"/>
        <v>1200</v>
      </c>
      <c r="I8" s="421" t="s">
        <v>1314</v>
      </c>
      <c r="J8" s="422" t="s">
        <v>546</v>
      </c>
      <c r="K8" s="423" t="s">
        <v>1317</v>
      </c>
      <c r="L8" s="428">
        <v>2</v>
      </c>
      <c r="M8" s="428">
        <v>30</v>
      </c>
      <c r="N8" s="429">
        <v>30</v>
      </c>
      <c r="O8" s="430">
        <f t="shared" si="1"/>
        <v>1800</v>
      </c>
    </row>
    <row r="9" spans="1:15" ht="24" customHeight="1">
      <c r="A9" s="431" t="s">
        <v>1314</v>
      </c>
      <c r="B9" s="432" t="s">
        <v>546</v>
      </c>
      <c r="C9" s="433" t="s">
        <v>1318</v>
      </c>
      <c r="D9" s="434">
        <v>2</v>
      </c>
      <c r="E9" s="434">
        <v>20</v>
      </c>
      <c r="F9" s="427">
        <v>20</v>
      </c>
      <c r="G9" s="435">
        <f t="shared" si="0"/>
        <v>800</v>
      </c>
      <c r="H9" s="415"/>
      <c r="I9" s="431" t="s">
        <v>1314</v>
      </c>
      <c r="J9" s="432" t="s">
        <v>546</v>
      </c>
      <c r="K9" s="433" t="s">
        <v>1318</v>
      </c>
      <c r="L9" s="434">
        <v>2</v>
      </c>
      <c r="M9" s="434">
        <v>30</v>
      </c>
      <c r="N9" s="427">
        <v>20</v>
      </c>
      <c r="O9" s="435">
        <f t="shared" si="1"/>
        <v>1200</v>
      </c>
    </row>
    <row r="10" spans="1:15" ht="25.5" customHeight="1">
      <c r="A10" s="431" t="s">
        <v>1319</v>
      </c>
      <c r="B10" s="432" t="s">
        <v>546</v>
      </c>
      <c r="C10" s="433" t="s">
        <v>1320</v>
      </c>
      <c r="D10" s="434">
        <v>1</v>
      </c>
      <c r="E10" s="434">
        <v>665</v>
      </c>
      <c r="F10" s="427">
        <v>25</v>
      </c>
      <c r="G10" s="435">
        <f t="shared" si="0"/>
        <v>16625</v>
      </c>
      <c r="H10" s="415"/>
      <c r="I10" s="431" t="s">
        <v>1319</v>
      </c>
      <c r="J10" s="432" t="s">
        <v>546</v>
      </c>
      <c r="K10" s="433" t="s">
        <v>1320</v>
      </c>
      <c r="L10" s="434">
        <v>1</v>
      </c>
      <c r="M10" s="434">
        <v>800</v>
      </c>
      <c r="N10" s="427">
        <v>25</v>
      </c>
      <c r="O10" s="435">
        <f t="shared" si="1"/>
        <v>20000</v>
      </c>
    </row>
    <row r="11" spans="1:15" ht="24">
      <c r="A11" s="421" t="s">
        <v>540</v>
      </c>
      <c r="B11" s="422" t="s">
        <v>546</v>
      </c>
      <c r="C11" s="423" t="s">
        <v>1321</v>
      </c>
      <c r="D11" s="424">
        <v>3</v>
      </c>
      <c r="E11" s="424">
        <v>5</v>
      </c>
      <c r="F11" s="425">
        <v>60</v>
      </c>
      <c r="G11" s="426">
        <f t="shared" si="0"/>
        <v>900</v>
      </c>
      <c r="I11" s="421" t="s">
        <v>540</v>
      </c>
      <c r="J11" s="422" t="s">
        <v>546</v>
      </c>
      <c r="K11" s="423" t="s">
        <v>1322</v>
      </c>
      <c r="L11" s="424">
        <v>15</v>
      </c>
      <c r="M11" s="424">
        <v>5</v>
      </c>
      <c r="N11" s="425">
        <v>60</v>
      </c>
      <c r="O11" s="426">
        <f t="shared" si="1"/>
        <v>4500</v>
      </c>
    </row>
    <row r="12" spans="1:15" ht="24">
      <c r="A12" s="421" t="s">
        <v>540</v>
      </c>
      <c r="B12" s="422" t="s">
        <v>546</v>
      </c>
      <c r="C12" s="423" t="s">
        <v>1323</v>
      </c>
      <c r="D12" s="428">
        <v>3</v>
      </c>
      <c r="E12" s="428">
        <v>5</v>
      </c>
      <c r="F12" s="429">
        <v>25</v>
      </c>
      <c r="G12" s="426">
        <f t="shared" si="0"/>
        <v>375</v>
      </c>
      <c r="I12" s="421" t="s">
        <v>540</v>
      </c>
      <c r="J12" s="422" t="s">
        <v>546</v>
      </c>
      <c r="K12" s="423" t="s">
        <v>1324</v>
      </c>
      <c r="L12" s="428">
        <v>15</v>
      </c>
      <c r="M12" s="428">
        <v>5</v>
      </c>
      <c r="N12" s="429">
        <v>25</v>
      </c>
      <c r="O12" s="430">
        <f t="shared" si="1"/>
        <v>1875</v>
      </c>
    </row>
    <row r="13" spans="1:15" ht="23.25" customHeight="1">
      <c r="A13" s="421" t="s">
        <v>540</v>
      </c>
      <c r="B13" s="422" t="s">
        <v>546</v>
      </c>
      <c r="C13" s="433" t="s">
        <v>1325</v>
      </c>
      <c r="D13" s="428">
        <v>4</v>
      </c>
      <c r="E13" s="428">
        <v>5</v>
      </c>
      <c r="F13" s="429">
        <v>50</v>
      </c>
      <c r="G13" s="430">
        <f t="shared" si="0"/>
        <v>1000</v>
      </c>
      <c r="I13" s="421" t="s">
        <v>540</v>
      </c>
      <c r="J13" s="422" t="s">
        <v>546</v>
      </c>
      <c r="K13" s="423" t="s">
        <v>1326</v>
      </c>
      <c r="L13" s="428">
        <v>10</v>
      </c>
      <c r="M13" s="428">
        <v>5</v>
      </c>
      <c r="N13" s="429">
        <v>50</v>
      </c>
      <c r="O13" s="430">
        <f t="shared" si="1"/>
        <v>2500</v>
      </c>
    </row>
    <row r="14" spans="1:15" ht="13.5">
      <c r="A14" s="421" t="s">
        <v>1327</v>
      </c>
      <c r="B14" s="422" t="s">
        <v>546</v>
      </c>
      <c r="C14" s="423" t="s">
        <v>1328</v>
      </c>
      <c r="D14" s="436">
        <v>1</v>
      </c>
      <c r="E14" s="436">
        <v>1500</v>
      </c>
      <c r="F14" s="437">
        <v>0.6</v>
      </c>
      <c r="G14" s="430">
        <f t="shared" si="0"/>
        <v>900</v>
      </c>
      <c r="I14" s="421" t="s">
        <v>1327</v>
      </c>
      <c r="J14" s="422" t="s">
        <v>546</v>
      </c>
      <c r="K14" s="423" t="s">
        <v>1328</v>
      </c>
      <c r="L14" s="436">
        <v>1</v>
      </c>
      <c r="M14" s="436">
        <v>1750</v>
      </c>
      <c r="N14" s="437">
        <v>0.6</v>
      </c>
      <c r="O14" s="430">
        <f t="shared" si="1"/>
        <v>1050</v>
      </c>
    </row>
    <row r="15" spans="1:15" ht="15">
      <c r="A15" s="868"/>
      <c r="B15" s="868"/>
      <c r="C15" s="868"/>
      <c r="D15" s="868"/>
      <c r="E15" s="868"/>
      <c r="F15" s="438" t="s">
        <v>36</v>
      </c>
      <c r="G15" s="439">
        <f>IF((SUM(G5:G14)=0)," ",SUM(G5:G14))</f>
        <v>25300</v>
      </c>
      <c r="I15" s="868"/>
      <c r="J15" s="868"/>
      <c r="K15" s="868"/>
      <c r="L15" s="868"/>
      <c r="M15" s="868"/>
      <c r="N15" s="438" t="s">
        <v>36</v>
      </c>
      <c r="O15" s="439">
        <f>IF((SUM(O5:O14)=0)," ",SUM(O5:O14))</f>
        <v>36925</v>
      </c>
    </row>
    <row r="18" spans="1:15" ht="13.5">
      <c r="A18" s="869" t="s">
        <v>1329</v>
      </c>
      <c r="B18" s="869"/>
      <c r="C18" s="869"/>
      <c r="D18" s="869"/>
      <c r="E18" s="869"/>
      <c r="F18" s="869"/>
      <c r="G18" s="869"/>
      <c r="I18" s="869" t="s">
        <v>1330</v>
      </c>
      <c r="J18" s="869"/>
      <c r="K18" s="869"/>
      <c r="L18" s="869"/>
      <c r="M18" s="869"/>
      <c r="N18" s="869"/>
      <c r="O18" s="869"/>
    </row>
    <row r="19" spans="1:15" s="440" customFormat="1" ht="13.5">
      <c r="A19" s="1"/>
      <c r="B19" s="1"/>
      <c r="C19" s="1"/>
      <c r="D19" s="1"/>
      <c r="E19" s="1"/>
      <c r="F19" s="418"/>
      <c r="G19" s="418"/>
      <c r="I19" s="1"/>
      <c r="J19" s="1"/>
      <c r="K19" s="1"/>
      <c r="L19" s="1"/>
      <c r="M19" s="1"/>
      <c r="N19" s="418"/>
      <c r="O19" s="418"/>
    </row>
    <row r="20" spans="1:15" s="441" customFormat="1" ht="24.75" customHeight="1">
      <c r="A20" s="419" t="s">
        <v>1309</v>
      </c>
      <c r="B20" s="419" t="s">
        <v>82</v>
      </c>
      <c r="C20" s="419" t="s">
        <v>802</v>
      </c>
      <c r="D20" s="419" t="s">
        <v>179</v>
      </c>
      <c r="E20" s="419" t="s">
        <v>1310</v>
      </c>
      <c r="F20" s="420" t="s">
        <v>84</v>
      </c>
      <c r="G20" s="420" t="s">
        <v>1311</v>
      </c>
      <c r="I20" s="419" t="s">
        <v>1309</v>
      </c>
      <c r="J20" s="419" t="s">
        <v>82</v>
      </c>
      <c r="K20" s="419" t="s">
        <v>802</v>
      </c>
      <c r="L20" s="419" t="s">
        <v>179</v>
      </c>
      <c r="M20" s="419" t="s">
        <v>1310</v>
      </c>
      <c r="N20" s="420" t="s">
        <v>84</v>
      </c>
      <c r="O20" s="420" t="s">
        <v>1311</v>
      </c>
    </row>
    <row r="21" spans="1:15" s="441" customFormat="1" ht="24.75" customHeight="1">
      <c r="A21" s="421" t="s">
        <v>1312</v>
      </c>
      <c r="B21" s="422" t="s">
        <v>546</v>
      </c>
      <c r="C21" s="423" t="s">
        <v>1313</v>
      </c>
      <c r="D21" s="424">
        <v>1</v>
      </c>
      <c r="E21" s="424">
        <v>1</v>
      </c>
      <c r="F21" s="425">
        <v>1500</v>
      </c>
      <c r="G21" s="426">
        <f aca="true" t="shared" si="2" ref="G21:G31">D21*E21*F21</f>
        <v>1500</v>
      </c>
      <c r="I21" s="421" t="s">
        <v>1312</v>
      </c>
      <c r="J21" s="422" t="s">
        <v>546</v>
      </c>
      <c r="K21" s="423" t="s">
        <v>1313</v>
      </c>
      <c r="L21" s="424">
        <v>1</v>
      </c>
      <c r="M21" s="424">
        <v>1</v>
      </c>
      <c r="N21" s="425">
        <v>1500</v>
      </c>
      <c r="O21" s="426">
        <f aca="true" t="shared" si="3" ref="O21:O30">L21*M21*N21</f>
        <v>1500</v>
      </c>
    </row>
    <row r="22" spans="1:15" s="440" customFormat="1" ht="24.75" customHeight="1">
      <c r="A22" s="421" t="s">
        <v>1314</v>
      </c>
      <c r="B22" s="422" t="s">
        <v>546</v>
      </c>
      <c r="C22" s="423" t="s">
        <v>1315</v>
      </c>
      <c r="D22" s="424">
        <v>2</v>
      </c>
      <c r="E22" s="424">
        <v>2</v>
      </c>
      <c r="F22" s="425">
        <v>250</v>
      </c>
      <c r="G22" s="426">
        <f t="shared" si="2"/>
        <v>1000</v>
      </c>
      <c r="I22" s="421" t="s">
        <v>1314</v>
      </c>
      <c r="J22" s="422" t="s">
        <v>546</v>
      </c>
      <c r="K22" s="423" t="s">
        <v>1315</v>
      </c>
      <c r="L22" s="424">
        <v>2</v>
      </c>
      <c r="M22" s="424">
        <v>2</v>
      </c>
      <c r="N22" s="425">
        <v>250</v>
      </c>
      <c r="O22" s="426">
        <f t="shared" si="3"/>
        <v>1000</v>
      </c>
    </row>
    <row r="23" spans="1:15" s="440" customFormat="1" ht="24.75" customHeight="1">
      <c r="A23" s="421" t="s">
        <v>1314</v>
      </c>
      <c r="B23" s="422" t="s">
        <v>546</v>
      </c>
      <c r="C23" s="423" t="s">
        <v>1316</v>
      </c>
      <c r="D23" s="424">
        <v>1</v>
      </c>
      <c r="E23" s="424">
        <v>35</v>
      </c>
      <c r="F23" s="427">
        <v>50</v>
      </c>
      <c r="G23" s="426">
        <f t="shared" si="2"/>
        <v>1750</v>
      </c>
      <c r="I23" s="421" t="s">
        <v>1314</v>
      </c>
      <c r="J23" s="422" t="s">
        <v>546</v>
      </c>
      <c r="K23" s="423" t="s">
        <v>1316</v>
      </c>
      <c r="L23" s="424">
        <v>1</v>
      </c>
      <c r="M23" s="424">
        <v>35</v>
      </c>
      <c r="N23" s="427">
        <v>50</v>
      </c>
      <c r="O23" s="426">
        <f t="shared" si="3"/>
        <v>1750</v>
      </c>
    </row>
    <row r="24" spans="1:15" s="440" customFormat="1" ht="24.75" customHeight="1">
      <c r="A24" s="421" t="s">
        <v>1314</v>
      </c>
      <c r="B24" s="422" t="s">
        <v>546</v>
      </c>
      <c r="C24" s="423" t="s">
        <v>1317</v>
      </c>
      <c r="D24" s="428">
        <v>2</v>
      </c>
      <c r="E24" s="428">
        <v>35</v>
      </c>
      <c r="F24" s="429">
        <v>30</v>
      </c>
      <c r="G24" s="430">
        <f t="shared" si="2"/>
        <v>2100</v>
      </c>
      <c r="I24" s="421" t="s">
        <v>1314</v>
      </c>
      <c r="J24" s="422" t="s">
        <v>546</v>
      </c>
      <c r="K24" s="423" t="s">
        <v>1317</v>
      </c>
      <c r="L24" s="428">
        <v>2</v>
      </c>
      <c r="M24" s="428">
        <v>35</v>
      </c>
      <c r="N24" s="429">
        <v>30</v>
      </c>
      <c r="O24" s="430">
        <f t="shared" si="3"/>
        <v>2100</v>
      </c>
    </row>
    <row r="25" spans="1:15" s="440" customFormat="1" ht="24.75" customHeight="1">
      <c r="A25" s="421" t="s">
        <v>1314</v>
      </c>
      <c r="B25" s="422" t="s">
        <v>546</v>
      </c>
      <c r="C25" s="423" t="s">
        <v>1318</v>
      </c>
      <c r="D25" s="424">
        <v>2</v>
      </c>
      <c r="E25" s="424">
        <v>35</v>
      </c>
      <c r="F25" s="425">
        <v>20</v>
      </c>
      <c r="G25" s="426">
        <f t="shared" si="2"/>
        <v>1400</v>
      </c>
      <c r="H25" s="442"/>
      <c r="I25" s="421" t="s">
        <v>1314</v>
      </c>
      <c r="J25" s="422" t="s">
        <v>546</v>
      </c>
      <c r="K25" s="423" t="s">
        <v>1318</v>
      </c>
      <c r="L25" s="424">
        <v>2</v>
      </c>
      <c r="M25" s="424">
        <v>35</v>
      </c>
      <c r="N25" s="425">
        <v>20</v>
      </c>
      <c r="O25" s="426">
        <f t="shared" si="3"/>
        <v>1400</v>
      </c>
    </row>
    <row r="26" spans="1:15" s="440" customFormat="1" ht="24.75" customHeight="1">
      <c r="A26" s="431" t="s">
        <v>1314</v>
      </c>
      <c r="B26" s="432" t="s">
        <v>546</v>
      </c>
      <c r="C26" s="433" t="s">
        <v>1331</v>
      </c>
      <c r="D26" s="434">
        <v>1</v>
      </c>
      <c r="E26" s="434">
        <v>1</v>
      </c>
      <c r="F26" s="427">
        <v>25000</v>
      </c>
      <c r="G26" s="435">
        <f t="shared" si="2"/>
        <v>25000</v>
      </c>
      <c r="H26" s="442"/>
      <c r="I26" s="431" t="s">
        <v>1314</v>
      </c>
      <c r="J26" s="432" t="s">
        <v>546</v>
      </c>
      <c r="K26" s="433" t="s">
        <v>1331</v>
      </c>
      <c r="L26" s="434">
        <v>0</v>
      </c>
      <c r="M26" s="434">
        <v>1</v>
      </c>
      <c r="N26" s="427">
        <v>25000</v>
      </c>
      <c r="O26" s="435">
        <f t="shared" si="3"/>
        <v>0</v>
      </c>
    </row>
    <row r="27" spans="1:15" s="440" customFormat="1" ht="24.75" customHeight="1">
      <c r="A27" s="431" t="s">
        <v>1319</v>
      </c>
      <c r="B27" s="432" t="s">
        <v>546</v>
      </c>
      <c r="C27" s="433" t="s">
        <v>1320</v>
      </c>
      <c r="D27" s="434">
        <v>1</v>
      </c>
      <c r="E27" s="434">
        <v>264</v>
      </c>
      <c r="F27" s="427">
        <v>25</v>
      </c>
      <c r="G27" s="435">
        <f t="shared" si="2"/>
        <v>6600</v>
      </c>
      <c r="H27" s="442"/>
      <c r="I27" s="431" t="s">
        <v>540</v>
      </c>
      <c r="J27" s="432" t="s">
        <v>546</v>
      </c>
      <c r="K27" s="433" t="s">
        <v>1332</v>
      </c>
      <c r="L27" s="434">
        <v>20</v>
      </c>
      <c r="M27" s="434">
        <v>5</v>
      </c>
      <c r="N27" s="427">
        <v>50</v>
      </c>
      <c r="O27" s="435">
        <f t="shared" si="3"/>
        <v>5000</v>
      </c>
    </row>
    <row r="28" spans="1:15" s="440" customFormat="1" ht="24.75" customHeight="1">
      <c r="A28" s="431" t="s">
        <v>540</v>
      </c>
      <c r="B28" s="432" t="s">
        <v>546</v>
      </c>
      <c r="C28" s="433" t="s">
        <v>1332</v>
      </c>
      <c r="D28" s="434">
        <v>20</v>
      </c>
      <c r="E28" s="434">
        <v>5</v>
      </c>
      <c r="F28" s="427">
        <v>50</v>
      </c>
      <c r="G28" s="435">
        <f t="shared" si="2"/>
        <v>5000</v>
      </c>
      <c r="H28" s="442"/>
      <c r="I28" s="431" t="s">
        <v>540</v>
      </c>
      <c r="J28" s="432" t="s">
        <v>546</v>
      </c>
      <c r="K28" s="433" t="s">
        <v>1333</v>
      </c>
      <c r="L28" s="436">
        <v>20</v>
      </c>
      <c r="M28" s="436">
        <v>5</v>
      </c>
      <c r="N28" s="437">
        <v>25</v>
      </c>
      <c r="O28" s="443">
        <f t="shared" si="3"/>
        <v>2500</v>
      </c>
    </row>
    <row r="29" spans="1:15" s="440" customFormat="1" ht="24.75" customHeight="1">
      <c r="A29" s="431" t="s">
        <v>540</v>
      </c>
      <c r="B29" s="432" t="s">
        <v>546</v>
      </c>
      <c r="C29" s="433" t="s">
        <v>1333</v>
      </c>
      <c r="D29" s="436">
        <v>20</v>
      </c>
      <c r="E29" s="436">
        <v>5</v>
      </c>
      <c r="F29" s="437">
        <v>25</v>
      </c>
      <c r="G29" s="443">
        <f t="shared" si="2"/>
        <v>2500</v>
      </c>
      <c r="H29" s="442"/>
      <c r="I29" s="431" t="s">
        <v>540</v>
      </c>
      <c r="J29" s="432" t="s">
        <v>546</v>
      </c>
      <c r="K29" s="433" t="s">
        <v>1325</v>
      </c>
      <c r="L29" s="436">
        <v>8</v>
      </c>
      <c r="M29" s="436">
        <v>5</v>
      </c>
      <c r="N29" s="437">
        <v>50</v>
      </c>
      <c r="O29" s="443">
        <f t="shared" si="3"/>
        <v>2000</v>
      </c>
    </row>
    <row r="30" spans="1:15" s="440" customFormat="1" ht="24.75" customHeight="1">
      <c r="A30" s="431" t="s">
        <v>540</v>
      </c>
      <c r="B30" s="432" t="s">
        <v>546</v>
      </c>
      <c r="C30" s="433" t="s">
        <v>1325</v>
      </c>
      <c r="D30" s="436">
        <v>8</v>
      </c>
      <c r="E30" s="436">
        <v>5</v>
      </c>
      <c r="F30" s="437">
        <v>50</v>
      </c>
      <c r="G30" s="443">
        <f t="shared" si="2"/>
        <v>2000</v>
      </c>
      <c r="H30" s="442"/>
      <c r="I30" s="431" t="s">
        <v>1327</v>
      </c>
      <c r="J30" s="432" t="s">
        <v>546</v>
      </c>
      <c r="K30" s="433" t="s">
        <v>1328</v>
      </c>
      <c r="L30" s="436">
        <v>1</v>
      </c>
      <c r="M30" s="436">
        <v>2000</v>
      </c>
      <c r="N30" s="437">
        <v>0.6</v>
      </c>
      <c r="O30" s="443">
        <f t="shared" si="3"/>
        <v>1200</v>
      </c>
    </row>
    <row r="31" spans="1:15" s="444" customFormat="1" ht="18" customHeight="1">
      <c r="A31" s="431" t="s">
        <v>1327</v>
      </c>
      <c r="B31" s="432" t="s">
        <v>546</v>
      </c>
      <c r="C31" s="433" t="s">
        <v>1328</v>
      </c>
      <c r="D31" s="436">
        <v>1</v>
      </c>
      <c r="E31" s="436">
        <v>2000</v>
      </c>
      <c r="F31" s="437">
        <v>0.6</v>
      </c>
      <c r="G31" s="443">
        <f t="shared" si="2"/>
        <v>1200</v>
      </c>
      <c r="I31" s="868"/>
      <c r="J31" s="868"/>
      <c r="K31" s="868"/>
      <c r="L31" s="868"/>
      <c r="M31" s="868"/>
      <c r="N31" s="438" t="s">
        <v>36</v>
      </c>
      <c r="O31" s="439">
        <f>IF((SUM(O21:O30)=0)," ",SUM(O21:O30))</f>
        <v>18450</v>
      </c>
    </row>
    <row r="32" spans="1:7" ht="15">
      <c r="A32" s="868"/>
      <c r="B32" s="868"/>
      <c r="C32" s="868"/>
      <c r="D32" s="868"/>
      <c r="E32" s="868"/>
      <c r="F32" s="438" t="s">
        <v>36</v>
      </c>
      <c r="G32" s="439">
        <f>IF((SUM(G21:G31)=0)," ",SUM(G21:G31))</f>
        <v>50050</v>
      </c>
    </row>
    <row r="35" spans="1:15" ht="13.5">
      <c r="A35" s="869" t="s">
        <v>1334</v>
      </c>
      <c r="B35" s="869"/>
      <c r="C35" s="869"/>
      <c r="D35" s="869"/>
      <c r="E35" s="869"/>
      <c r="F35" s="869"/>
      <c r="G35" s="869"/>
      <c r="I35" s="869" t="s">
        <v>1335</v>
      </c>
      <c r="J35" s="869"/>
      <c r="K35" s="869"/>
      <c r="L35" s="869"/>
      <c r="M35" s="869"/>
      <c r="N35" s="869"/>
      <c r="O35" s="869"/>
    </row>
    <row r="36" spans="1:15" s="440" customFormat="1" ht="13.5">
      <c r="A36" s="1"/>
      <c r="B36" s="1"/>
      <c r="C36" s="1"/>
      <c r="D36" s="1"/>
      <c r="E36" s="1"/>
      <c r="F36" s="418"/>
      <c r="G36" s="418"/>
      <c r="I36" s="1"/>
      <c r="J36" s="1"/>
      <c r="K36" s="1"/>
      <c r="L36" s="1"/>
      <c r="M36" s="1"/>
      <c r="N36" s="418"/>
      <c r="O36" s="418"/>
    </row>
    <row r="37" spans="1:15" s="440" customFormat="1" ht="24.75" customHeight="1">
      <c r="A37" s="419" t="s">
        <v>1309</v>
      </c>
      <c r="B37" s="419" t="s">
        <v>82</v>
      </c>
      <c r="C37" s="419" t="s">
        <v>802</v>
      </c>
      <c r="D37" s="419" t="s">
        <v>179</v>
      </c>
      <c r="E37" s="419" t="s">
        <v>1310</v>
      </c>
      <c r="F37" s="420" t="s">
        <v>84</v>
      </c>
      <c r="G37" s="420" t="s">
        <v>1311</v>
      </c>
      <c r="I37" s="419" t="s">
        <v>1309</v>
      </c>
      <c r="J37" s="419" t="s">
        <v>82</v>
      </c>
      <c r="K37" s="419" t="s">
        <v>802</v>
      </c>
      <c r="L37" s="419" t="s">
        <v>179</v>
      </c>
      <c r="M37" s="419" t="s">
        <v>1310</v>
      </c>
      <c r="N37" s="420" t="s">
        <v>84</v>
      </c>
      <c r="O37" s="420" t="s">
        <v>1311</v>
      </c>
    </row>
    <row r="38" spans="1:15" s="441" customFormat="1" ht="24.75" customHeight="1">
      <c r="A38" s="421" t="s">
        <v>540</v>
      </c>
      <c r="B38" s="421" t="s">
        <v>546</v>
      </c>
      <c r="C38" s="445" t="s">
        <v>1336</v>
      </c>
      <c r="D38" s="421">
        <v>1</v>
      </c>
      <c r="E38" s="421">
        <v>1</v>
      </c>
      <c r="F38" s="446">
        <v>500</v>
      </c>
      <c r="G38" s="426">
        <f aca="true" t="shared" si="4" ref="G38:G48">D38*E38*F38</f>
        <v>500</v>
      </c>
      <c r="I38" s="421" t="s">
        <v>1312</v>
      </c>
      <c r="J38" s="422" t="s">
        <v>546</v>
      </c>
      <c r="K38" s="423" t="s">
        <v>1313</v>
      </c>
      <c r="L38" s="424">
        <v>1</v>
      </c>
      <c r="M38" s="424">
        <v>1</v>
      </c>
      <c r="N38" s="425">
        <v>1500</v>
      </c>
      <c r="O38" s="426">
        <f aca="true" t="shared" si="5" ref="O38:O47">L38*M38*N38</f>
        <v>1500</v>
      </c>
    </row>
    <row r="39" spans="1:15" s="441" customFormat="1" ht="24.75" customHeight="1">
      <c r="A39" s="421" t="s">
        <v>1312</v>
      </c>
      <c r="B39" s="422" t="s">
        <v>546</v>
      </c>
      <c r="C39" s="423" t="s">
        <v>1313</v>
      </c>
      <c r="D39" s="424">
        <v>1</v>
      </c>
      <c r="E39" s="424">
        <v>1</v>
      </c>
      <c r="F39" s="425">
        <v>1500</v>
      </c>
      <c r="G39" s="426">
        <f t="shared" si="4"/>
        <v>1500</v>
      </c>
      <c r="I39" s="421" t="s">
        <v>1314</v>
      </c>
      <c r="J39" s="422" t="s">
        <v>546</v>
      </c>
      <c r="K39" s="423" t="s">
        <v>1315</v>
      </c>
      <c r="L39" s="424">
        <v>2</v>
      </c>
      <c r="M39" s="424">
        <v>2</v>
      </c>
      <c r="N39" s="425">
        <v>250</v>
      </c>
      <c r="O39" s="426">
        <f t="shared" si="5"/>
        <v>1000</v>
      </c>
    </row>
    <row r="40" spans="1:15" s="440" customFormat="1" ht="24.75" customHeight="1">
      <c r="A40" s="421" t="s">
        <v>1314</v>
      </c>
      <c r="B40" s="422" t="s">
        <v>546</v>
      </c>
      <c r="C40" s="423" t="s">
        <v>1315</v>
      </c>
      <c r="D40" s="424">
        <v>2</v>
      </c>
      <c r="E40" s="424">
        <v>2</v>
      </c>
      <c r="F40" s="425">
        <v>250</v>
      </c>
      <c r="G40" s="426">
        <f t="shared" si="4"/>
        <v>1000</v>
      </c>
      <c r="I40" s="421" t="s">
        <v>1314</v>
      </c>
      <c r="J40" s="422" t="s">
        <v>546</v>
      </c>
      <c r="K40" s="423" t="s">
        <v>1316</v>
      </c>
      <c r="L40" s="424">
        <v>1</v>
      </c>
      <c r="M40" s="424">
        <v>20</v>
      </c>
      <c r="N40" s="427">
        <v>50</v>
      </c>
      <c r="O40" s="426">
        <f t="shared" si="5"/>
        <v>1000</v>
      </c>
    </row>
    <row r="41" spans="1:15" s="440" customFormat="1" ht="24.75" customHeight="1">
      <c r="A41" s="421" t="s">
        <v>1314</v>
      </c>
      <c r="B41" s="422" t="s">
        <v>546</v>
      </c>
      <c r="C41" s="423" t="s">
        <v>1316</v>
      </c>
      <c r="D41" s="424">
        <v>1</v>
      </c>
      <c r="E41" s="424">
        <v>25</v>
      </c>
      <c r="F41" s="427">
        <v>50</v>
      </c>
      <c r="G41" s="426">
        <f t="shared" si="4"/>
        <v>1250</v>
      </c>
      <c r="I41" s="421" t="s">
        <v>1314</v>
      </c>
      <c r="J41" s="422" t="s">
        <v>546</v>
      </c>
      <c r="K41" s="423" t="s">
        <v>1317</v>
      </c>
      <c r="L41" s="428">
        <v>2</v>
      </c>
      <c r="M41" s="428">
        <v>25</v>
      </c>
      <c r="N41" s="429">
        <v>30</v>
      </c>
      <c r="O41" s="430">
        <f t="shared" si="5"/>
        <v>1500</v>
      </c>
    </row>
    <row r="42" spans="1:15" s="440" customFormat="1" ht="24.75" customHeight="1">
      <c r="A42" s="421" t="s">
        <v>1314</v>
      </c>
      <c r="B42" s="422" t="s">
        <v>546</v>
      </c>
      <c r="C42" s="423" t="s">
        <v>1317</v>
      </c>
      <c r="D42" s="428">
        <v>2</v>
      </c>
      <c r="E42" s="428">
        <v>25</v>
      </c>
      <c r="F42" s="429">
        <v>30</v>
      </c>
      <c r="G42" s="430">
        <f t="shared" si="4"/>
        <v>1500</v>
      </c>
      <c r="I42" s="421" t="s">
        <v>1314</v>
      </c>
      <c r="J42" s="422" t="s">
        <v>546</v>
      </c>
      <c r="K42" s="423" t="s">
        <v>1318</v>
      </c>
      <c r="L42" s="424">
        <v>2</v>
      </c>
      <c r="M42" s="424">
        <v>20</v>
      </c>
      <c r="N42" s="425">
        <v>20</v>
      </c>
      <c r="O42" s="426">
        <f t="shared" si="5"/>
        <v>800</v>
      </c>
    </row>
    <row r="43" spans="1:15" s="440" customFormat="1" ht="24.75" customHeight="1">
      <c r="A43" s="431" t="s">
        <v>1314</v>
      </c>
      <c r="B43" s="432" t="s">
        <v>546</v>
      </c>
      <c r="C43" s="433" t="s">
        <v>1318</v>
      </c>
      <c r="D43" s="434">
        <v>2</v>
      </c>
      <c r="E43" s="434">
        <v>25</v>
      </c>
      <c r="F43" s="427">
        <v>20</v>
      </c>
      <c r="G43" s="435">
        <f t="shared" si="4"/>
        <v>1000</v>
      </c>
      <c r="H43" s="442"/>
      <c r="I43" s="431" t="s">
        <v>1319</v>
      </c>
      <c r="J43" s="432" t="s">
        <v>546</v>
      </c>
      <c r="K43" s="433" t="s">
        <v>1320</v>
      </c>
      <c r="L43" s="434">
        <v>1</v>
      </c>
      <c r="M43" s="434">
        <v>91</v>
      </c>
      <c r="N43" s="427">
        <v>25</v>
      </c>
      <c r="O43" s="435">
        <f t="shared" si="5"/>
        <v>2275</v>
      </c>
    </row>
    <row r="44" spans="1:15" s="440" customFormat="1" ht="24.75" customHeight="1">
      <c r="A44" s="431" t="s">
        <v>1314</v>
      </c>
      <c r="B44" s="432" t="s">
        <v>546</v>
      </c>
      <c r="C44" s="433" t="s">
        <v>1337</v>
      </c>
      <c r="D44" s="434">
        <v>1</v>
      </c>
      <c r="E44" s="434">
        <v>1</v>
      </c>
      <c r="F44" s="427">
        <v>25000</v>
      </c>
      <c r="G44" s="435">
        <f t="shared" si="4"/>
        <v>25000</v>
      </c>
      <c r="H44" s="442"/>
      <c r="I44" s="431" t="s">
        <v>540</v>
      </c>
      <c r="J44" s="432" t="s">
        <v>546</v>
      </c>
      <c r="K44" s="433" t="s">
        <v>1338</v>
      </c>
      <c r="L44" s="434">
        <v>12</v>
      </c>
      <c r="M44" s="434">
        <v>5</v>
      </c>
      <c r="N44" s="427">
        <v>85</v>
      </c>
      <c r="O44" s="435">
        <f t="shared" si="5"/>
        <v>5100</v>
      </c>
    </row>
    <row r="45" spans="1:15" s="440" customFormat="1" ht="24.75" customHeight="1">
      <c r="A45" s="421" t="s">
        <v>540</v>
      </c>
      <c r="B45" s="422" t="s">
        <v>546</v>
      </c>
      <c r="C45" s="423" t="s">
        <v>1339</v>
      </c>
      <c r="D45" s="424">
        <v>30</v>
      </c>
      <c r="E45" s="424">
        <v>5</v>
      </c>
      <c r="F45" s="425">
        <v>60</v>
      </c>
      <c r="G45" s="426">
        <f t="shared" si="4"/>
        <v>9000</v>
      </c>
      <c r="I45" s="421" t="s">
        <v>540</v>
      </c>
      <c r="J45" s="422" t="s">
        <v>546</v>
      </c>
      <c r="K45" s="423" t="s">
        <v>1340</v>
      </c>
      <c r="L45" s="428">
        <v>12</v>
      </c>
      <c r="M45" s="428">
        <v>5</v>
      </c>
      <c r="N45" s="429">
        <v>25</v>
      </c>
      <c r="O45" s="430">
        <f t="shared" si="5"/>
        <v>1500</v>
      </c>
    </row>
    <row r="46" spans="1:15" s="440" customFormat="1" ht="24.75" customHeight="1">
      <c r="A46" s="421" t="s">
        <v>540</v>
      </c>
      <c r="B46" s="422" t="s">
        <v>546</v>
      </c>
      <c r="C46" s="423" t="s">
        <v>1341</v>
      </c>
      <c r="D46" s="428">
        <v>30</v>
      </c>
      <c r="E46" s="428">
        <v>5</v>
      </c>
      <c r="F46" s="429">
        <v>25</v>
      </c>
      <c r="G46" s="430">
        <f t="shared" si="4"/>
        <v>3750</v>
      </c>
      <c r="I46" s="421" t="s">
        <v>540</v>
      </c>
      <c r="J46" s="422" t="s">
        <v>546</v>
      </c>
      <c r="K46" s="423" t="s">
        <v>1325</v>
      </c>
      <c r="L46" s="428">
        <v>8</v>
      </c>
      <c r="M46" s="428">
        <v>5</v>
      </c>
      <c r="N46" s="429">
        <v>50</v>
      </c>
      <c r="O46" s="430">
        <f t="shared" si="5"/>
        <v>2000</v>
      </c>
    </row>
    <row r="47" spans="1:15" s="440" customFormat="1" ht="24.75" customHeight="1">
      <c r="A47" s="421" t="s">
        <v>540</v>
      </c>
      <c r="B47" s="422" t="s">
        <v>546</v>
      </c>
      <c r="C47" s="423" t="s">
        <v>1342</v>
      </c>
      <c r="D47" s="428">
        <v>8</v>
      </c>
      <c r="E47" s="428">
        <v>5</v>
      </c>
      <c r="F47" s="429">
        <v>50</v>
      </c>
      <c r="G47" s="430">
        <f t="shared" si="4"/>
        <v>2000</v>
      </c>
      <c r="I47" s="421" t="s">
        <v>1327</v>
      </c>
      <c r="J47" s="422" t="s">
        <v>546</v>
      </c>
      <c r="K47" s="423" t="s">
        <v>1328</v>
      </c>
      <c r="L47" s="436">
        <v>1</v>
      </c>
      <c r="M47" s="436">
        <v>1750</v>
      </c>
      <c r="N47" s="437">
        <v>0.6</v>
      </c>
      <c r="O47" s="430">
        <f t="shared" si="5"/>
        <v>1050</v>
      </c>
    </row>
    <row r="48" spans="1:15" s="444" customFormat="1" ht="18" customHeight="1">
      <c r="A48" s="421" t="s">
        <v>1327</v>
      </c>
      <c r="B48" s="422" t="s">
        <v>546</v>
      </c>
      <c r="C48" s="423" t="s">
        <v>1328</v>
      </c>
      <c r="D48" s="436">
        <v>1</v>
      </c>
      <c r="E48" s="436">
        <v>2000</v>
      </c>
      <c r="F48" s="437">
        <v>0.6</v>
      </c>
      <c r="G48" s="430">
        <f t="shared" si="4"/>
        <v>1200</v>
      </c>
      <c r="I48" s="868"/>
      <c r="J48" s="868"/>
      <c r="K48" s="868"/>
      <c r="L48" s="868"/>
      <c r="M48" s="868"/>
      <c r="N48" s="438" t="s">
        <v>36</v>
      </c>
      <c r="O48" s="447">
        <f>IF((SUM(O38:O47)=0)," ",SUM(O38:O47))</f>
        <v>17725</v>
      </c>
    </row>
    <row r="49" spans="1:7" ht="15">
      <c r="A49" s="868"/>
      <c r="B49" s="868"/>
      <c r="C49" s="868"/>
      <c r="D49" s="868"/>
      <c r="E49" s="868"/>
      <c r="F49" s="438" t="s">
        <v>36</v>
      </c>
      <c r="G49" s="447">
        <f>IF((SUM(G39:G48)=0)," ",SUM(G39:G48))</f>
        <v>47200</v>
      </c>
    </row>
  </sheetData>
  <sheetProtection/>
  <mergeCells count="12">
    <mergeCell ref="A2:G2"/>
    <mergeCell ref="I2:O2"/>
    <mergeCell ref="A15:E15"/>
    <mergeCell ref="I15:M15"/>
    <mergeCell ref="A18:G18"/>
    <mergeCell ref="I18:O18"/>
    <mergeCell ref="I31:M31"/>
    <mergeCell ref="A32:E32"/>
    <mergeCell ref="A35:G35"/>
    <mergeCell ref="I35:O35"/>
    <mergeCell ref="I48:M48"/>
    <mergeCell ref="A49:E49"/>
  </mergeCells>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9.140625" defaultRowHeight="15"/>
  <cols>
    <col min="1" max="1" width="9.140625" style="1" customWidth="1"/>
    <col min="2" max="2" width="12.8515625" style="1" bestFit="1" customWidth="1"/>
    <col min="3" max="16384" width="9.140625" style="1" customWidth="1"/>
  </cols>
  <sheetData>
    <row r="2" spans="1:3" ht="13.5">
      <c r="A2" s="870" t="s">
        <v>1300</v>
      </c>
      <c r="B2" s="870"/>
      <c r="C2" s="870"/>
    </row>
    <row r="3" spans="1:3" ht="13.5">
      <c r="A3" s="403" t="s">
        <v>1301</v>
      </c>
      <c r="B3" s="404">
        <v>525000</v>
      </c>
      <c r="C3" s="405">
        <f>B3/B9</f>
        <v>0.11560589092907579</v>
      </c>
    </row>
    <row r="4" spans="1:3" ht="13.5">
      <c r="A4" s="406" t="s">
        <v>1302</v>
      </c>
      <c r="B4" s="407">
        <v>515000</v>
      </c>
      <c r="C4" s="408">
        <f>B4/$B$9</f>
        <v>0.11340387395899815</v>
      </c>
    </row>
    <row r="5" spans="1:3" ht="13.5">
      <c r="A5" s="406" t="s">
        <v>1303</v>
      </c>
      <c r="B5" s="407">
        <v>628000</v>
      </c>
      <c r="C5" s="408">
        <f>B5/$B$9</f>
        <v>0.13828666572087542</v>
      </c>
    </row>
    <row r="6" spans="1:3" ht="13.5">
      <c r="A6" s="406" t="s">
        <v>1304</v>
      </c>
      <c r="B6" s="407">
        <v>300000</v>
      </c>
      <c r="C6" s="408">
        <f>B6/$B$9</f>
        <v>0.06606050910232902</v>
      </c>
    </row>
    <row r="7" spans="1:3" ht="13.5">
      <c r="A7" s="406" t="s">
        <v>1305</v>
      </c>
      <c r="B7" s="407">
        <v>250000</v>
      </c>
      <c r="C7" s="408">
        <f>B7/$B$9</f>
        <v>0.05505042425194085</v>
      </c>
    </row>
    <row r="8" spans="1:3" ht="13.5">
      <c r="A8" s="409" t="s">
        <v>1306</v>
      </c>
      <c r="B8" s="410">
        <f>'[3]Master'!E121</f>
        <v>2323291.069</v>
      </c>
      <c r="C8" s="411">
        <f>B8/$B$9</f>
        <v>0.5115926360367807</v>
      </c>
    </row>
    <row r="9" spans="1:3" ht="13.5">
      <c r="A9" s="412" t="s">
        <v>799</v>
      </c>
      <c r="B9" s="413">
        <f>SUM(B3:B8)</f>
        <v>4541291.069</v>
      </c>
      <c r="C9" s="414">
        <f>SUM(C3:C8)</f>
        <v>1</v>
      </c>
    </row>
    <row r="11" spans="1:4" ht="13.5">
      <c r="A11" s="415"/>
      <c r="B11" s="32"/>
      <c r="C11" s="416"/>
      <c r="D11" s="416"/>
    </row>
    <row r="12" spans="2:4" ht="13.5">
      <c r="B12" s="417"/>
      <c r="D12" s="415"/>
    </row>
  </sheetData>
  <sheetProtection/>
  <mergeCells count="1">
    <mergeCell ref="A2:C2"/>
  </mergeCells>
  <printOp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dimension ref="A1:Q115"/>
  <sheetViews>
    <sheetView workbookViewId="0" topLeftCell="A7">
      <selection activeCell="F14" sqref="F14"/>
    </sheetView>
  </sheetViews>
  <sheetFormatPr defaultColWidth="11.421875" defaultRowHeight="15"/>
  <sheetData>
    <row r="1" spans="1:17" ht="16.5">
      <c r="A1" s="331"/>
      <c r="B1" s="331"/>
      <c r="C1" s="824"/>
      <c r="D1" s="824"/>
      <c r="E1" s="824"/>
      <c r="F1" s="824"/>
      <c r="G1" s="824"/>
      <c r="H1" s="824"/>
      <c r="I1" s="824"/>
      <c r="J1" s="824"/>
      <c r="K1" s="824"/>
      <c r="L1" s="824"/>
      <c r="M1" s="824"/>
      <c r="N1" s="824"/>
      <c r="O1" s="824"/>
      <c r="P1" s="824"/>
      <c r="Q1" s="824"/>
    </row>
    <row r="2" spans="1:17" ht="15">
      <c r="A2" s="331"/>
      <c r="B2" s="331"/>
      <c r="C2" s="825" t="s">
        <v>1265</v>
      </c>
      <c r="D2" s="825"/>
      <c r="E2" s="825"/>
      <c r="F2" s="825"/>
      <c r="G2" s="825"/>
      <c r="H2" s="825"/>
      <c r="I2" s="825"/>
      <c r="J2" s="825"/>
      <c r="K2" s="825"/>
      <c r="L2" s="825"/>
      <c r="M2" s="825"/>
      <c r="N2" s="825"/>
      <c r="O2" s="825"/>
      <c r="P2" s="825"/>
      <c r="Q2" s="825"/>
    </row>
    <row r="3" spans="1:17" ht="15">
      <c r="A3" s="331"/>
      <c r="B3" s="331"/>
      <c r="C3" s="826" t="s">
        <v>1243</v>
      </c>
      <c r="D3" s="826"/>
      <c r="E3" s="826"/>
      <c r="F3" s="826"/>
      <c r="G3" s="826"/>
      <c r="H3" s="826"/>
      <c r="I3" s="826"/>
      <c r="J3" s="826"/>
      <c r="K3" s="826"/>
      <c r="L3" s="826"/>
      <c r="M3" s="826"/>
      <c r="N3" s="826"/>
      <c r="O3" s="826"/>
      <c r="P3" s="826"/>
      <c r="Q3" s="826"/>
    </row>
    <row r="4" spans="1:17" ht="15">
      <c r="A4" s="331"/>
      <c r="B4" s="331"/>
      <c r="C4" s="827" t="s">
        <v>1244</v>
      </c>
      <c r="D4" s="827"/>
      <c r="E4" s="827"/>
      <c r="F4" s="827"/>
      <c r="G4" s="827"/>
      <c r="H4" s="827"/>
      <c r="I4" s="827"/>
      <c r="J4" s="827"/>
      <c r="K4" s="827"/>
      <c r="L4" s="827"/>
      <c r="M4" s="827"/>
      <c r="N4" s="827"/>
      <c r="O4" s="827"/>
      <c r="P4" s="827"/>
      <c r="Q4" s="827"/>
    </row>
    <row r="5" spans="1:17" ht="15">
      <c r="A5" s="331"/>
      <c r="B5" s="331"/>
      <c r="C5" s="826" t="s">
        <v>1266</v>
      </c>
      <c r="D5" s="826"/>
      <c r="E5" s="826"/>
      <c r="F5" s="826"/>
      <c r="G5" s="826"/>
      <c r="H5" s="826"/>
      <c r="I5" s="826"/>
      <c r="J5" s="826"/>
      <c r="K5" s="826"/>
      <c r="L5" s="826"/>
      <c r="M5" s="826"/>
      <c r="N5" s="826"/>
      <c r="O5" s="826"/>
      <c r="P5" s="826"/>
      <c r="Q5" s="826"/>
    </row>
    <row r="6" spans="1:17" ht="15">
      <c r="A6" s="331"/>
      <c r="B6" s="331"/>
      <c r="C6" s="332"/>
      <c r="D6" s="332"/>
      <c r="E6" s="332"/>
      <c r="F6" s="332"/>
      <c r="G6" s="332"/>
      <c r="H6" s="332"/>
      <c r="I6" s="332"/>
      <c r="J6" s="332"/>
      <c r="K6" s="332"/>
      <c r="L6" s="332"/>
      <c r="M6" s="332"/>
      <c r="N6" s="332"/>
      <c r="O6" s="332"/>
      <c r="P6" s="332"/>
      <c r="Q6" s="332"/>
    </row>
    <row r="7" spans="1:17" ht="13.5">
      <c r="A7" s="828" t="s">
        <v>1239</v>
      </c>
      <c r="B7" s="828"/>
      <c r="C7" s="334"/>
      <c r="D7" s="331"/>
      <c r="E7" s="335"/>
      <c r="F7" s="829" t="s">
        <v>1276</v>
      </c>
      <c r="G7" s="830"/>
      <c r="H7" s="830"/>
      <c r="I7" s="830" t="s">
        <v>1277</v>
      </c>
      <c r="J7" s="830"/>
      <c r="K7" s="830"/>
      <c r="L7" s="830" t="s">
        <v>1278</v>
      </c>
      <c r="M7" s="830"/>
      <c r="N7" s="830"/>
      <c r="O7" s="830" t="s">
        <v>1279</v>
      </c>
      <c r="P7" s="830"/>
      <c r="Q7" s="830"/>
    </row>
    <row r="8" spans="1:17" ht="13.5">
      <c r="A8" s="333" t="s">
        <v>1249</v>
      </c>
      <c r="B8" s="333" t="s">
        <v>9</v>
      </c>
      <c r="C8" s="336"/>
      <c r="D8" s="337"/>
      <c r="E8" s="333" t="s">
        <v>799</v>
      </c>
      <c r="F8" s="333" t="s">
        <v>1250</v>
      </c>
      <c r="G8" s="333" t="s">
        <v>1251</v>
      </c>
      <c r="H8" s="333" t="s">
        <v>1252</v>
      </c>
      <c r="I8" s="333" t="s">
        <v>1253</v>
      </c>
      <c r="J8" s="333" t="s">
        <v>1254</v>
      </c>
      <c r="K8" s="333" t="s">
        <v>1255</v>
      </c>
      <c r="L8" s="333" t="s">
        <v>1256</v>
      </c>
      <c r="M8" s="333" t="s">
        <v>1257</v>
      </c>
      <c r="N8" s="333" t="s">
        <v>1258</v>
      </c>
      <c r="O8" s="333" t="s">
        <v>1259</v>
      </c>
      <c r="P8" s="333" t="s">
        <v>1260</v>
      </c>
      <c r="Q8" s="333" t="s">
        <v>1261</v>
      </c>
    </row>
    <row r="9" spans="1:17" ht="13.5">
      <c r="A9" s="331" t="s">
        <v>26</v>
      </c>
      <c r="B9" s="331" t="s">
        <v>59</v>
      </c>
      <c r="C9" s="338" t="str">
        <f>'[2]HR '!C4</f>
        <v>HQ</v>
      </c>
      <c r="D9" s="339" t="str">
        <f>'[2]HR '!D6</f>
        <v>Intl Admin staff</v>
      </c>
      <c r="E9" s="340">
        <f>'[2]HR '!E6</f>
        <v>49800</v>
      </c>
      <c r="F9" s="341">
        <f>'[2]HR '!F6</f>
        <v>4150</v>
      </c>
      <c r="G9" s="341">
        <f>'[2]HR '!G6</f>
        <v>4150</v>
      </c>
      <c r="H9" s="341">
        <f>'[2]HR '!H6</f>
        <v>4150</v>
      </c>
      <c r="I9" s="341">
        <f>'[2]HR '!I6</f>
        <v>4150</v>
      </c>
      <c r="J9" s="341">
        <f>'[2]HR '!J6</f>
        <v>4150</v>
      </c>
      <c r="K9" s="341">
        <f>'[2]HR '!K6</f>
        <v>4150</v>
      </c>
      <c r="L9" s="341">
        <f>'[2]HR '!L6</f>
        <v>4150</v>
      </c>
      <c r="M9" s="341">
        <f>'[2]HR '!M6</f>
        <v>4150</v>
      </c>
      <c r="N9" s="341">
        <f>'[2]HR '!N6</f>
        <v>4150</v>
      </c>
      <c r="O9" s="341">
        <f>'[2]HR '!O6</f>
        <v>4150</v>
      </c>
      <c r="P9" s="341">
        <f>'[2]HR '!P6</f>
        <v>4150</v>
      </c>
      <c r="Q9" s="341">
        <f>'[2]HR '!Q6</f>
        <v>4150</v>
      </c>
    </row>
    <row r="10" spans="1:17" ht="13.5">
      <c r="A10" s="331" t="s">
        <v>26</v>
      </c>
      <c r="B10" s="331" t="s">
        <v>59</v>
      </c>
      <c r="C10" s="342" t="str">
        <f>'[2]HR '!C23</f>
        <v>HQ</v>
      </c>
      <c r="D10" s="343" t="str">
        <f>'[2]HR '!D10</f>
        <v>Coordinator WASHE</v>
      </c>
      <c r="E10" s="344">
        <f>'[2]HR '!E10</f>
        <v>45600</v>
      </c>
      <c r="F10" s="345">
        <f>'[2]HR '!F10</f>
        <v>3800</v>
      </c>
      <c r="G10" s="345">
        <f>'[2]HR '!G10</f>
        <v>3800</v>
      </c>
      <c r="H10" s="345">
        <f>'[2]HR '!H10</f>
        <v>3800</v>
      </c>
      <c r="I10" s="345">
        <f>'[2]HR '!I10</f>
        <v>3800</v>
      </c>
      <c r="J10" s="345">
        <f>'[2]HR '!J10</f>
        <v>3800</v>
      </c>
      <c r="K10" s="345">
        <f>'[2]HR '!K10</f>
        <v>3800</v>
      </c>
      <c r="L10" s="345">
        <f>'[2]HR '!L10</f>
        <v>3800</v>
      </c>
      <c r="M10" s="345">
        <f>'[2]HR '!M10</f>
        <v>3800</v>
      </c>
      <c r="N10" s="345">
        <f>'[2]HR '!N10</f>
        <v>3800</v>
      </c>
      <c r="O10" s="345">
        <f>'[2]HR '!O10</f>
        <v>3800</v>
      </c>
      <c r="P10" s="345">
        <f>'[2]HR '!P10</f>
        <v>3800</v>
      </c>
      <c r="Q10" s="345">
        <f>'[2]HR '!Q10</f>
        <v>3800</v>
      </c>
    </row>
    <row r="11" spans="1:17" ht="13.5">
      <c r="A11" s="331" t="s">
        <v>26</v>
      </c>
      <c r="B11" s="331" t="s">
        <v>853</v>
      </c>
      <c r="C11" s="342" t="str">
        <f>'[2]HR '!C10</f>
        <v>HQ</v>
      </c>
      <c r="D11" s="346" t="str">
        <f>'[2]HR '!D11</f>
        <v>M&amp;E Coordinator</v>
      </c>
      <c r="E11" s="347">
        <f>'[2]HR '!E11</f>
        <v>45600</v>
      </c>
      <c r="F11" s="378">
        <f>'[2]HR '!F11</f>
        <v>3800</v>
      </c>
      <c r="G11" s="348">
        <f>'[2]HR '!G11</f>
        <v>3800</v>
      </c>
      <c r="H11" s="348">
        <f>'[2]HR '!H11</f>
        <v>3800</v>
      </c>
      <c r="I11" s="348">
        <f>'[2]HR '!I11</f>
        <v>3800</v>
      </c>
      <c r="J11" s="348">
        <f>'[2]HR '!J11</f>
        <v>3800</v>
      </c>
      <c r="K11" s="348">
        <f>'[2]HR '!K11</f>
        <v>3800</v>
      </c>
      <c r="L11" s="348">
        <f>'[2]HR '!L11</f>
        <v>3800</v>
      </c>
      <c r="M11" s="348">
        <f>'[2]HR '!M11</f>
        <v>3800</v>
      </c>
      <c r="N11" s="348">
        <f>'[2]HR '!N11</f>
        <v>3800</v>
      </c>
      <c r="O11" s="348">
        <f>'[2]HR '!O11</f>
        <v>3800</v>
      </c>
      <c r="P11" s="348">
        <f>'[2]HR '!P11</f>
        <v>3800</v>
      </c>
      <c r="Q11" s="348">
        <f>'[2]HR '!Q11</f>
        <v>3800</v>
      </c>
    </row>
    <row r="12" spans="1:17" ht="13.5">
      <c r="A12" s="331" t="s">
        <v>26</v>
      </c>
      <c r="B12" s="331" t="s">
        <v>855</v>
      </c>
      <c r="C12" s="342" t="str">
        <f>'[2]HR '!C11</f>
        <v>HQ</v>
      </c>
      <c r="D12" s="349" t="str">
        <f>'[2]HR '!D18</f>
        <v>Intl Capacity Building staff Provinces</v>
      </c>
      <c r="E12" s="350">
        <f>'[2]HR '!E18</f>
        <v>87600</v>
      </c>
      <c r="F12" s="351">
        <f>'[2]HR '!F18</f>
        <v>3800</v>
      </c>
      <c r="G12" s="351">
        <f>'[2]HR '!G18</f>
        <v>5800</v>
      </c>
      <c r="H12" s="351">
        <f>'[2]HR '!H18</f>
        <v>7800</v>
      </c>
      <c r="I12" s="351">
        <f>'[2]HR '!I18</f>
        <v>7800</v>
      </c>
      <c r="J12" s="351">
        <f>'[2]HR '!J18</f>
        <v>7800</v>
      </c>
      <c r="K12" s="351">
        <f>'[2]HR '!K18</f>
        <v>7800</v>
      </c>
      <c r="L12" s="351">
        <f>'[2]HR '!L18</f>
        <v>7800</v>
      </c>
      <c r="M12" s="351">
        <f>'[2]HR '!M18</f>
        <v>7800</v>
      </c>
      <c r="N12" s="351">
        <f>'[2]HR '!N18</f>
        <v>7800</v>
      </c>
      <c r="O12" s="351">
        <f>'[2]HR '!O18</f>
        <v>7800</v>
      </c>
      <c r="P12" s="351">
        <f>'[2]HR '!P18</f>
        <v>7800</v>
      </c>
      <c r="Q12" s="351">
        <f>'[2]HR '!Q18</f>
        <v>7800</v>
      </c>
    </row>
    <row r="13" spans="1:17" ht="13.5">
      <c r="A13" s="331" t="s">
        <v>26</v>
      </c>
      <c r="B13" s="331" t="s">
        <v>59</v>
      </c>
      <c r="C13" s="342" t="s">
        <v>580</v>
      </c>
      <c r="D13" s="349" t="str">
        <f>'[2]HR '!D27</f>
        <v>International staff - Fringe benefits HQ</v>
      </c>
      <c r="E13" s="350">
        <f>'[2]HR '!E27</f>
        <v>20150</v>
      </c>
      <c r="F13" s="351">
        <f>'[2]HR '!F27</f>
        <v>3600</v>
      </c>
      <c r="G13" s="351">
        <f>'[2]HR '!G27</f>
        <v>1350</v>
      </c>
      <c r="H13" s="351">
        <f>'[2]HR '!H27</f>
        <v>600</v>
      </c>
      <c r="I13" s="351">
        <f>'[2]HR '!I27</f>
        <v>600</v>
      </c>
      <c r="J13" s="351">
        <f>'[2]HR '!J27</f>
        <v>2100</v>
      </c>
      <c r="K13" s="351">
        <f>'[2]HR '!K27</f>
        <v>1150</v>
      </c>
      <c r="L13" s="351">
        <f>'[2]HR '!L27</f>
        <v>4900</v>
      </c>
      <c r="M13" s="351">
        <f>'[2]HR '!M27</f>
        <v>1400</v>
      </c>
      <c r="N13" s="351">
        <f>'[2]HR '!N27</f>
        <v>600</v>
      </c>
      <c r="O13" s="351">
        <f>'[2]HR '!O27</f>
        <v>2650</v>
      </c>
      <c r="P13" s="351">
        <f>'[2]HR '!P27</f>
        <v>600</v>
      </c>
      <c r="Q13" s="351">
        <f>'[2]HR '!Q27</f>
        <v>600</v>
      </c>
    </row>
    <row r="14" spans="1:17" ht="13.5">
      <c r="A14" s="331" t="s">
        <v>26</v>
      </c>
      <c r="B14" s="331" t="s">
        <v>59</v>
      </c>
      <c r="C14" s="342" t="s">
        <v>1262</v>
      </c>
      <c r="D14" s="353" t="str">
        <f>'[2]HR '!D33</f>
        <v>International staff - Fringe benefits in-country</v>
      </c>
      <c r="E14" s="350">
        <f>'[2]HR '!E33</f>
        <v>53235</v>
      </c>
      <c r="F14" s="351">
        <f>'[2]HR '!F33</f>
        <v>4436.25</v>
      </c>
      <c r="G14" s="351">
        <f>'[2]HR '!G33</f>
        <v>4436.25</v>
      </c>
      <c r="H14" s="351">
        <f>'[2]HR '!H33</f>
        <v>4436.25</v>
      </c>
      <c r="I14" s="351">
        <f>'[2]HR '!I33</f>
        <v>4436.25</v>
      </c>
      <c r="J14" s="351">
        <f>'[2]HR '!J33</f>
        <v>4436.25</v>
      </c>
      <c r="K14" s="351">
        <f>'[2]HR '!K33</f>
        <v>4436.25</v>
      </c>
      <c r="L14" s="351">
        <f>'[2]HR '!L33</f>
        <v>4436.25</v>
      </c>
      <c r="M14" s="351">
        <f>'[2]HR '!M33</f>
        <v>4436.25</v>
      </c>
      <c r="N14" s="351">
        <f>'[2]HR '!N33</f>
        <v>4436.25</v>
      </c>
      <c r="O14" s="351">
        <f>'[2]HR '!O33</f>
        <v>4436.25</v>
      </c>
      <c r="P14" s="351">
        <f>'[2]HR '!P33</f>
        <v>4436.25</v>
      </c>
      <c r="Q14" s="351">
        <f>'[2]HR '!Q33</f>
        <v>4436.25</v>
      </c>
    </row>
    <row r="15" spans="1:17" ht="13.5">
      <c r="A15" s="331" t="s">
        <v>26</v>
      </c>
      <c r="B15" s="331" t="s">
        <v>59</v>
      </c>
      <c r="C15" s="354" t="str">
        <f>'[2]HR '!C48</f>
        <v>Central </v>
      </c>
      <c r="D15" s="355" t="str">
        <f>'[2]HR '!D48</f>
        <v>National staff  M&amp;A Central</v>
      </c>
      <c r="E15" s="356">
        <f>'[2]HR '!E48</f>
        <v>101730.625</v>
      </c>
      <c r="F15" s="357">
        <f>'[2]HR '!F48</f>
        <v>7681.875</v>
      </c>
      <c r="G15" s="357">
        <f>'[2]HR '!G48</f>
        <v>7661.25</v>
      </c>
      <c r="H15" s="357">
        <f>'[2]HR '!H48</f>
        <v>10780</v>
      </c>
      <c r="I15" s="357">
        <f>'[2]HR '!I48</f>
        <v>7361.25</v>
      </c>
      <c r="J15" s="357">
        <f>'[2]HR '!J48</f>
        <v>7361.25</v>
      </c>
      <c r="K15" s="357">
        <f>'[2]HR '!K48</f>
        <v>7361.25</v>
      </c>
      <c r="L15" s="357">
        <f>'[2]HR '!L48</f>
        <v>7361.25</v>
      </c>
      <c r="M15" s="357">
        <f>'[2]HR '!M48</f>
        <v>7361.25</v>
      </c>
      <c r="N15" s="357">
        <f>'[2]HR '!N48</f>
        <v>10480</v>
      </c>
      <c r="O15" s="357">
        <f>'[2]HR '!O48</f>
        <v>7361.25</v>
      </c>
      <c r="P15" s="357">
        <f>'[2]HR '!P48</f>
        <v>7361.25</v>
      </c>
      <c r="Q15" s="357">
        <f>'[2]HR '!Q48</f>
        <v>13598.75</v>
      </c>
    </row>
    <row r="16" spans="1:17" ht="13.5">
      <c r="A16" s="331" t="s">
        <v>26</v>
      </c>
      <c r="B16" s="331" t="s">
        <v>853</v>
      </c>
      <c r="C16" s="354" t="str">
        <f>'[2]HR '!C57</f>
        <v>Central </v>
      </c>
      <c r="D16" s="355" t="str">
        <f>'[2]HR '!D57</f>
        <v>National staff  M&amp;A Central</v>
      </c>
      <c r="E16" s="356">
        <f>'[2]HR '!E57</f>
        <v>23940</v>
      </c>
      <c r="F16" s="357">
        <f>'[2]HR '!F57</f>
        <v>1732.5</v>
      </c>
      <c r="G16" s="357">
        <f>'[2]HR '!G57</f>
        <v>1732.5</v>
      </c>
      <c r="H16" s="357">
        <f>'[2]HR '!H57</f>
        <v>2520</v>
      </c>
      <c r="I16" s="357">
        <f>'[2]HR '!I57</f>
        <v>1732.5</v>
      </c>
      <c r="J16" s="357">
        <f>'[2]HR '!J57</f>
        <v>1732.5</v>
      </c>
      <c r="K16" s="357">
        <f>'[2]HR '!K57</f>
        <v>1732.5</v>
      </c>
      <c r="L16" s="357">
        <f>'[2]HR '!L57</f>
        <v>1732.5</v>
      </c>
      <c r="M16" s="357">
        <f>'[2]HR '!M57</f>
        <v>1732.5</v>
      </c>
      <c r="N16" s="357">
        <f>'[2]HR '!N57</f>
        <v>2520</v>
      </c>
      <c r="O16" s="357">
        <f>'[2]HR '!O57</f>
        <v>1732.5</v>
      </c>
      <c r="P16" s="357">
        <f>'[2]HR '!P57</f>
        <v>1732.5</v>
      </c>
      <c r="Q16" s="357">
        <f>'[2]HR '!Q57</f>
        <v>3307.5</v>
      </c>
    </row>
    <row r="17" spans="1:17" ht="13.5">
      <c r="A17" s="331" t="s">
        <v>26</v>
      </c>
      <c r="B17" s="331" t="s">
        <v>59</v>
      </c>
      <c r="C17" s="354" t="str">
        <f>'[2]HR '!C67</f>
        <v>Luanda</v>
      </c>
      <c r="D17" s="355" t="str">
        <f>'[2]HR '!D67</f>
        <v>National staff - Management &amp; Admin Luanda</v>
      </c>
      <c r="E17" s="356">
        <f>'[2]HR '!E67</f>
        <v>18961.992000000002</v>
      </c>
      <c r="F17" s="357">
        <f>'[2]HR '!F67</f>
        <v>1370.166</v>
      </c>
      <c r="G17" s="357">
        <f>'[2]HR '!G67</f>
        <v>1370.166</v>
      </c>
      <c r="H17" s="357">
        <f>'[2]HR '!H67</f>
        <v>2000.166</v>
      </c>
      <c r="I17" s="357">
        <f>'[2]HR '!I67</f>
        <v>1370.166</v>
      </c>
      <c r="J17" s="357">
        <f>'[2]HR '!J67</f>
        <v>1370.166</v>
      </c>
      <c r="K17" s="357">
        <f>'[2]HR '!K67</f>
        <v>1370.166</v>
      </c>
      <c r="L17" s="357">
        <f>'[2]HR '!L67</f>
        <v>1370.166</v>
      </c>
      <c r="M17" s="357">
        <f>'[2]HR '!M67</f>
        <v>1370.166</v>
      </c>
      <c r="N17" s="357">
        <f>'[2]HR '!N67</f>
        <v>2000.166</v>
      </c>
      <c r="O17" s="357">
        <f>'[2]HR '!O67</f>
        <v>1370.166</v>
      </c>
      <c r="P17" s="357">
        <f>'[2]HR '!P67</f>
        <v>1370.166</v>
      </c>
      <c r="Q17" s="357">
        <f>'[2]HR '!Q67</f>
        <v>2630.166</v>
      </c>
    </row>
    <row r="18" spans="1:17" ht="13.5">
      <c r="A18" s="331" t="s">
        <v>26</v>
      </c>
      <c r="B18" s="331" t="s">
        <v>852</v>
      </c>
      <c r="C18" s="354" t="str">
        <f>'[2]HR '!C78</f>
        <v>Huambo</v>
      </c>
      <c r="D18" s="355" t="str">
        <f>'[2]HR '!D78</f>
        <v>National staff - Capacity Building Huambo</v>
      </c>
      <c r="E18" s="356">
        <f>'[2]HR '!E78</f>
        <v>41496</v>
      </c>
      <c r="F18" s="357">
        <f>'[2]HR '!F78</f>
        <v>3003</v>
      </c>
      <c r="G18" s="357">
        <f>'[2]HR '!G78</f>
        <v>3003</v>
      </c>
      <c r="H18" s="357">
        <f>'[2]HR '!H78</f>
        <v>4368</v>
      </c>
      <c r="I18" s="357">
        <f>'[2]HR '!I78</f>
        <v>3003</v>
      </c>
      <c r="J18" s="357">
        <f>'[2]HR '!J78</f>
        <v>3003</v>
      </c>
      <c r="K18" s="357">
        <f>'[2]HR '!K78</f>
        <v>3003</v>
      </c>
      <c r="L18" s="357">
        <f>'[2]HR '!L78</f>
        <v>3003</v>
      </c>
      <c r="M18" s="357">
        <f>'[2]HR '!M78</f>
        <v>3003</v>
      </c>
      <c r="N18" s="357">
        <f>'[2]HR '!N78</f>
        <v>4368</v>
      </c>
      <c r="O18" s="357">
        <f>'[2]HR '!O78</f>
        <v>3003</v>
      </c>
      <c r="P18" s="357">
        <f>'[2]HR '!P78</f>
        <v>3003</v>
      </c>
      <c r="Q18" s="357">
        <f>'[2]HR '!Q78</f>
        <v>5733</v>
      </c>
    </row>
    <row r="19" spans="1:17" ht="13.5">
      <c r="A19" s="331" t="s">
        <v>26</v>
      </c>
      <c r="B19" s="331" t="s">
        <v>59</v>
      </c>
      <c r="C19" s="354" t="str">
        <f>'[2]HR '!C89</f>
        <v>Huambo</v>
      </c>
      <c r="D19" s="355" t="str">
        <f>'[2]HR '!D89</f>
        <v>National staff - Management &amp; Admin Huambo</v>
      </c>
      <c r="E19" s="356">
        <f>'[2]HR '!E89</f>
        <v>63840</v>
      </c>
      <c r="F19" s="357">
        <f>'[2]HR '!F89</f>
        <v>4620</v>
      </c>
      <c r="G19" s="357">
        <f>'[2]HR '!G89</f>
        <v>4620</v>
      </c>
      <c r="H19" s="357">
        <f>'[2]HR '!H89</f>
        <v>6720</v>
      </c>
      <c r="I19" s="357">
        <f>'[2]HR '!I89</f>
        <v>4620</v>
      </c>
      <c r="J19" s="357">
        <f>'[2]HR '!J89</f>
        <v>4620</v>
      </c>
      <c r="K19" s="357">
        <f>'[2]HR '!K89</f>
        <v>4620</v>
      </c>
      <c r="L19" s="357">
        <f>'[2]HR '!L89</f>
        <v>4620</v>
      </c>
      <c r="M19" s="357">
        <f>'[2]HR '!M89</f>
        <v>4620</v>
      </c>
      <c r="N19" s="357">
        <f>'[2]HR '!N89</f>
        <v>6720</v>
      </c>
      <c r="O19" s="357">
        <f>'[2]HR '!O89</f>
        <v>4620</v>
      </c>
      <c r="P19" s="357">
        <f>'[2]HR '!P89</f>
        <v>4620</v>
      </c>
      <c r="Q19" s="357">
        <f>'[2]HR '!Q89</f>
        <v>8820</v>
      </c>
    </row>
    <row r="20" spans="1:17" ht="13.5">
      <c r="A20" s="331" t="s">
        <v>26</v>
      </c>
      <c r="B20" s="331" t="s">
        <v>853</v>
      </c>
      <c r="C20" s="354" t="str">
        <f>'[2]HR '!C99</f>
        <v>Huambo</v>
      </c>
      <c r="D20" s="355" t="str">
        <f>'[2]HR '!D99</f>
        <v>National staff - WASHE Huambo</v>
      </c>
      <c r="E20" s="356">
        <f>'[2]HR '!E99</f>
        <v>27132</v>
      </c>
      <c r="F20" s="357">
        <f>'[2]HR '!F99</f>
        <v>1963.5</v>
      </c>
      <c r="G20" s="357">
        <f>'[2]HR '!G99</f>
        <v>1963.5</v>
      </c>
      <c r="H20" s="357">
        <f>'[2]HR '!H99</f>
        <v>2856</v>
      </c>
      <c r="I20" s="357">
        <f>'[2]HR '!I99</f>
        <v>1963.5</v>
      </c>
      <c r="J20" s="357">
        <f>'[2]HR '!J99</f>
        <v>1963.5</v>
      </c>
      <c r="K20" s="357">
        <f>'[2]HR '!K99</f>
        <v>1963.5</v>
      </c>
      <c r="L20" s="357">
        <f>'[2]HR '!L99</f>
        <v>1963.5</v>
      </c>
      <c r="M20" s="357">
        <f>'[2]HR '!M99</f>
        <v>1963.5</v>
      </c>
      <c r="N20" s="357">
        <f>'[2]HR '!N99</f>
        <v>2856</v>
      </c>
      <c r="O20" s="357">
        <f>'[2]HR '!O99</f>
        <v>1963.5</v>
      </c>
      <c r="P20" s="357">
        <f>'[2]HR '!P99</f>
        <v>1963.5</v>
      </c>
      <c r="Q20" s="357">
        <f>'[2]HR '!Q99</f>
        <v>3748.5</v>
      </c>
    </row>
    <row r="21" spans="1:17" ht="13.5">
      <c r="A21" s="331" t="s">
        <v>26</v>
      </c>
      <c r="B21" s="331" t="s">
        <v>852</v>
      </c>
      <c r="C21" s="354" t="str">
        <f>'[2]HR '!C111</f>
        <v>Uige</v>
      </c>
      <c r="D21" s="355" t="str">
        <f>'[2]HR '!D111</f>
        <v>National staff - Capacity Building Uige</v>
      </c>
      <c r="E21" s="356">
        <f>'[2]HR '!E111</f>
        <v>90712.5</v>
      </c>
      <c r="F21" s="357">
        <f>'[2]HR '!F111</f>
        <v>6641.25</v>
      </c>
      <c r="G21" s="357">
        <f>'[2]HR '!G111</f>
        <v>6558.75</v>
      </c>
      <c r="H21" s="357">
        <f>'[2]HR '!H111</f>
        <v>9540</v>
      </c>
      <c r="I21" s="357">
        <f>'[2]HR '!I111</f>
        <v>6558.75</v>
      </c>
      <c r="J21" s="357">
        <f>'[2]HR '!J111</f>
        <v>6558.75</v>
      </c>
      <c r="K21" s="357">
        <f>'[2]HR '!K111</f>
        <v>6558.75</v>
      </c>
      <c r="L21" s="357">
        <f>'[2]HR '!L111</f>
        <v>6558.75</v>
      </c>
      <c r="M21" s="357">
        <f>'[2]HR '!M111</f>
        <v>6558.75</v>
      </c>
      <c r="N21" s="357">
        <f>'[2]HR '!N111</f>
        <v>9540</v>
      </c>
      <c r="O21" s="357">
        <f>'[2]HR '!O111</f>
        <v>6558.75</v>
      </c>
      <c r="P21" s="357">
        <f>'[2]HR '!P111</f>
        <v>6558.75</v>
      </c>
      <c r="Q21" s="357">
        <f>'[2]HR '!Q111</f>
        <v>12521.25</v>
      </c>
    </row>
    <row r="22" spans="1:17" ht="13.5">
      <c r="A22" s="331" t="s">
        <v>26</v>
      </c>
      <c r="B22" s="331" t="s">
        <v>59</v>
      </c>
      <c r="C22" s="354" t="str">
        <f>'[2]HR '!C123</f>
        <v>Uige</v>
      </c>
      <c r="D22" s="355" t="str">
        <f>'[2]HR '!D123</f>
        <v>National staff - Management &amp; Admin Uige</v>
      </c>
      <c r="E22" s="356">
        <f>'[2]HR '!E123</f>
        <v>36253.875</v>
      </c>
      <c r="F22" s="357">
        <f>'[2]HR '!F123</f>
        <v>2627.625</v>
      </c>
      <c r="G22" s="357">
        <f>'[2]HR '!G123</f>
        <v>2627.625</v>
      </c>
      <c r="H22" s="357">
        <f>'[2]HR '!H123</f>
        <v>3822</v>
      </c>
      <c r="I22" s="357">
        <f>'[2]HR '!I123</f>
        <v>2627.625</v>
      </c>
      <c r="J22" s="357">
        <f>'[2]HR '!J123</f>
        <v>2627.625</v>
      </c>
      <c r="K22" s="357">
        <f>'[2]HR '!K123</f>
        <v>2627.625</v>
      </c>
      <c r="L22" s="357">
        <f>'[2]HR '!L123</f>
        <v>2627.625</v>
      </c>
      <c r="M22" s="357">
        <f>'[2]HR '!M123</f>
        <v>2627.625</v>
      </c>
      <c r="N22" s="357">
        <f>'[2]HR '!N123</f>
        <v>3822</v>
      </c>
      <c r="O22" s="357">
        <f>'[2]HR '!O123</f>
        <v>2627.625</v>
      </c>
      <c r="P22" s="357">
        <f>'[2]HR '!P123</f>
        <v>2627.625</v>
      </c>
      <c r="Q22" s="357">
        <f>'[2]HR '!Q123</f>
        <v>4961.25</v>
      </c>
    </row>
    <row r="23" spans="1:17" ht="13.5">
      <c r="A23" s="331" t="s">
        <v>26</v>
      </c>
      <c r="B23" s="331" t="s">
        <v>853</v>
      </c>
      <c r="C23" s="354" t="str">
        <f>'[2]HR '!C133</f>
        <v>Uige</v>
      </c>
      <c r="D23" s="355" t="str">
        <f>'[2]HR '!D133</f>
        <v>National staff - WASHE Uige</v>
      </c>
      <c r="E23" s="356">
        <f>'[2]HR '!E133</f>
        <v>26657.75</v>
      </c>
      <c r="F23" s="357">
        <f>'[2]HR '!F133</f>
        <v>1982.75</v>
      </c>
      <c r="G23" s="357">
        <f>'[2]HR '!G133</f>
        <v>1925</v>
      </c>
      <c r="H23" s="357">
        <f>'[2]HR '!H133</f>
        <v>2800</v>
      </c>
      <c r="I23" s="357">
        <f>'[2]HR '!I133</f>
        <v>1925</v>
      </c>
      <c r="J23" s="357">
        <f>'[2]HR '!J133</f>
        <v>1925</v>
      </c>
      <c r="K23" s="357">
        <f>'[2]HR '!K133</f>
        <v>1925</v>
      </c>
      <c r="L23" s="357">
        <f>'[2]HR '!L133</f>
        <v>1925</v>
      </c>
      <c r="M23" s="357">
        <f>'[2]HR '!M133</f>
        <v>1925</v>
      </c>
      <c r="N23" s="357">
        <f>'[2]HR '!N133</f>
        <v>2800</v>
      </c>
      <c r="O23" s="357">
        <f>'[2]HR '!O133</f>
        <v>1925</v>
      </c>
      <c r="P23" s="357">
        <f>'[2]HR '!P133</f>
        <v>1925</v>
      </c>
      <c r="Q23" s="357">
        <f>'[2]HR '!Q133</f>
        <v>3675</v>
      </c>
    </row>
    <row r="24" spans="1:17" ht="13.5">
      <c r="A24" s="331" t="s">
        <v>26</v>
      </c>
      <c r="B24" s="331" t="s">
        <v>852</v>
      </c>
      <c r="C24" s="354" t="str">
        <f>'[2]HR '!C145</f>
        <v>Zaire</v>
      </c>
      <c r="D24" s="355" t="str">
        <f>'[2]HR '!D145</f>
        <v>National staff - Capacity Building Zaire</v>
      </c>
      <c r="E24" s="356">
        <f>'[2]HR '!E145</f>
        <v>47500</v>
      </c>
      <c r="F24" s="357">
        <f>'[2]HR '!F145</f>
        <v>3437.5</v>
      </c>
      <c r="G24" s="357">
        <f>'[2]HR '!G145</f>
        <v>3437.5</v>
      </c>
      <c r="H24" s="357">
        <f>'[2]HR '!H145</f>
        <v>5000</v>
      </c>
      <c r="I24" s="357">
        <f>'[2]HR '!I145</f>
        <v>3437.5</v>
      </c>
      <c r="J24" s="357">
        <f>'[2]HR '!J145</f>
        <v>3437.5</v>
      </c>
      <c r="K24" s="357">
        <f>'[2]HR '!K145</f>
        <v>3437.5</v>
      </c>
      <c r="L24" s="357">
        <f>'[2]HR '!L145</f>
        <v>3437.5</v>
      </c>
      <c r="M24" s="357">
        <f>'[2]HR '!M145</f>
        <v>3437.5</v>
      </c>
      <c r="N24" s="357">
        <f>'[2]HR '!N145</f>
        <v>5000</v>
      </c>
      <c r="O24" s="357">
        <f>'[2]HR '!O145</f>
        <v>3437.5</v>
      </c>
      <c r="P24" s="357">
        <f>'[2]HR '!P145</f>
        <v>3437.5</v>
      </c>
      <c r="Q24" s="357">
        <f>'[2]HR '!Q145</f>
        <v>6562.5</v>
      </c>
    </row>
    <row r="25" spans="1:17" ht="13.5">
      <c r="A25" s="331" t="s">
        <v>26</v>
      </c>
      <c r="B25" s="331" t="s">
        <v>59</v>
      </c>
      <c r="C25" s="354" t="str">
        <f>'[2]HR '!C157</f>
        <v>Zaire</v>
      </c>
      <c r="D25" s="355" t="str">
        <f>'[2]HR '!D157</f>
        <v>National staff - Management &amp; Admin Zaire</v>
      </c>
      <c r="E25" s="356">
        <f>'[2]HR '!E157</f>
        <v>15960</v>
      </c>
      <c r="F25" s="357">
        <f>'[2]HR '!F157</f>
        <v>1155</v>
      </c>
      <c r="G25" s="357">
        <f>'[2]HR '!G157</f>
        <v>1155</v>
      </c>
      <c r="H25" s="357">
        <f>'[2]HR '!H157</f>
        <v>1680</v>
      </c>
      <c r="I25" s="357">
        <f>'[2]HR '!I157</f>
        <v>1155</v>
      </c>
      <c r="J25" s="357">
        <f>'[2]HR '!J157</f>
        <v>1155</v>
      </c>
      <c r="K25" s="357">
        <f>'[2]HR '!K157</f>
        <v>1155</v>
      </c>
      <c r="L25" s="357">
        <f>'[2]HR '!L157</f>
        <v>1155</v>
      </c>
      <c r="M25" s="357">
        <f>'[2]HR '!M157</f>
        <v>1155</v>
      </c>
      <c r="N25" s="357">
        <f>'[2]HR '!N157</f>
        <v>1680</v>
      </c>
      <c r="O25" s="357">
        <f>'[2]HR '!O157</f>
        <v>1155</v>
      </c>
      <c r="P25" s="357">
        <f>'[2]HR '!P157</f>
        <v>1155</v>
      </c>
      <c r="Q25" s="357">
        <f>'[2]HR '!Q157</f>
        <v>2205</v>
      </c>
    </row>
    <row r="26" spans="1:17" ht="13.5">
      <c r="A26" s="331" t="s">
        <v>26</v>
      </c>
      <c r="B26" s="331" t="s">
        <v>853</v>
      </c>
      <c r="C26" s="354" t="str">
        <f>'[2]HR '!C167</f>
        <v>Zaire</v>
      </c>
      <c r="D26" s="355" t="str">
        <f>'[2]HR '!D167</f>
        <v>National staff - WASHE Zaire</v>
      </c>
      <c r="E26" s="356">
        <f>'[2]HR '!E167</f>
        <v>0</v>
      </c>
      <c r="F26" s="357">
        <f>'[2]HR '!F167</f>
        <v>0</v>
      </c>
      <c r="G26" s="357">
        <f>'[2]HR '!G167</f>
        <v>0</v>
      </c>
      <c r="H26" s="357">
        <f>'[2]HR '!H167</f>
        <v>0</v>
      </c>
      <c r="I26" s="357">
        <f>'[2]HR '!I167</f>
        <v>0</v>
      </c>
      <c r="J26" s="357">
        <f>'[2]HR '!J167</f>
        <v>0</v>
      </c>
      <c r="K26" s="357">
        <f>'[2]HR '!K167</f>
        <v>0</v>
      </c>
      <c r="L26" s="357">
        <f>'[2]HR '!L167</f>
        <v>0</v>
      </c>
      <c r="M26" s="357">
        <f>'[2]HR '!M167</f>
        <v>0</v>
      </c>
      <c r="N26" s="357">
        <f>'[2]HR '!N167</f>
        <v>0</v>
      </c>
      <c r="O26" s="357">
        <f>'[2]HR '!O167</f>
        <v>0</v>
      </c>
      <c r="P26" s="357">
        <f>'[2]HR '!P167</f>
        <v>0</v>
      </c>
      <c r="Q26" s="357">
        <f>'[2]HR '!Q167</f>
        <v>0</v>
      </c>
    </row>
    <row r="27" spans="1:17" ht="13.5">
      <c r="A27" s="331" t="s">
        <v>26</v>
      </c>
      <c r="B27" s="331" t="s">
        <v>852</v>
      </c>
      <c r="C27" s="354" t="str">
        <f>'[2]HR '!C179</f>
        <v>Bie</v>
      </c>
      <c r="D27" s="355" t="str">
        <f>'[2]HR '!D179</f>
        <v>National staff - Capacity Building Bie </v>
      </c>
      <c r="E27" s="356">
        <f>'[2]HR '!E179</f>
        <v>82992</v>
      </c>
      <c r="F27" s="357">
        <f>'[2]HR '!F179</f>
        <v>6006</v>
      </c>
      <c r="G27" s="357">
        <f>'[2]HR '!G179</f>
        <v>6006</v>
      </c>
      <c r="H27" s="357">
        <f>'[2]HR '!H179</f>
        <v>8736</v>
      </c>
      <c r="I27" s="357">
        <f>'[2]HR '!I179</f>
        <v>6006</v>
      </c>
      <c r="J27" s="357">
        <f>'[2]HR '!J179</f>
        <v>6006</v>
      </c>
      <c r="K27" s="357">
        <f>'[2]HR '!K179</f>
        <v>6006</v>
      </c>
      <c r="L27" s="357">
        <f>'[2]HR '!L179</f>
        <v>6006</v>
      </c>
      <c r="M27" s="357">
        <f>'[2]HR '!M179</f>
        <v>6006</v>
      </c>
      <c r="N27" s="357">
        <f>'[2]HR '!N179</f>
        <v>8736</v>
      </c>
      <c r="O27" s="357">
        <f>'[2]HR '!O179</f>
        <v>6006</v>
      </c>
      <c r="P27" s="357">
        <f>'[2]HR '!P179</f>
        <v>6006</v>
      </c>
      <c r="Q27" s="357">
        <f>'[2]HR '!Q179</f>
        <v>11466</v>
      </c>
    </row>
    <row r="28" spans="1:17" ht="13.5">
      <c r="A28" s="331" t="s">
        <v>27</v>
      </c>
      <c r="B28" s="331" t="s">
        <v>852</v>
      </c>
      <c r="C28" s="354" t="str">
        <f>'[2]TA'!C4</f>
        <v>Central</v>
      </c>
      <c r="D28" s="355" t="str">
        <f>'[2]TA'!D4</f>
        <v>Consultants (short term assignments)</v>
      </c>
      <c r="E28" s="356">
        <f>'[2]TA'!E4</f>
        <v>30000</v>
      </c>
      <c r="F28" s="357">
        <f>'[2]TA'!F4</f>
        <v>0</v>
      </c>
      <c r="G28" s="357">
        <f>'[2]TA'!G4</f>
        <v>7500</v>
      </c>
      <c r="H28" s="357">
        <f>'[2]TA'!H4</f>
        <v>0</v>
      </c>
      <c r="I28" s="357">
        <f>'[2]TA'!I4</f>
        <v>0</v>
      </c>
      <c r="J28" s="357">
        <f>'[2]TA'!J4</f>
        <v>0</v>
      </c>
      <c r="K28" s="357">
        <f>'[2]TA'!K4</f>
        <v>7500</v>
      </c>
      <c r="L28" s="357">
        <f>'[2]TA'!L4</f>
        <v>0</v>
      </c>
      <c r="M28" s="357">
        <f>'[2]TA'!M4</f>
        <v>0</v>
      </c>
      <c r="N28" s="357">
        <f>'[2]TA'!N4</f>
        <v>7500</v>
      </c>
      <c r="O28" s="357">
        <f>'[2]TA'!O4</f>
        <v>0</v>
      </c>
      <c r="P28" s="357">
        <f>'[2]TA'!P4</f>
        <v>0</v>
      </c>
      <c r="Q28" s="357">
        <f>'[2]TA'!Q4</f>
        <v>7500</v>
      </c>
    </row>
    <row r="29" spans="1:17" ht="13.5">
      <c r="A29" s="331" t="s">
        <v>27</v>
      </c>
      <c r="B29" s="331" t="s">
        <v>59</v>
      </c>
      <c r="C29" s="354" t="str">
        <f>'[2]TA'!C12</f>
        <v>HQ</v>
      </c>
      <c r="D29" s="355" t="str">
        <f>'[2]TA'!D12</f>
        <v>HQ Technical Assistance </v>
      </c>
      <c r="E29" s="356">
        <f>'[2]TA'!E12</f>
        <v>38525</v>
      </c>
      <c r="F29" s="357">
        <f>'[2]TA'!F12</f>
        <v>2000</v>
      </c>
      <c r="G29" s="357">
        <f>'[2]TA'!G12</f>
        <v>2000</v>
      </c>
      <c r="H29" s="357">
        <f>'[2]TA'!H12</f>
        <v>3050</v>
      </c>
      <c r="I29" s="357">
        <f>'[2]TA'!I12</f>
        <v>2000</v>
      </c>
      <c r="J29" s="357">
        <f>'[2]TA'!J12</f>
        <v>4675</v>
      </c>
      <c r="K29" s="357">
        <f>'[2]TA'!K12</f>
        <v>3050</v>
      </c>
      <c r="L29" s="357">
        <f>'[2]TA'!L12</f>
        <v>2000</v>
      </c>
      <c r="M29" s="357">
        <f>'[2]TA'!M12</f>
        <v>2000</v>
      </c>
      <c r="N29" s="357">
        <f>'[2]TA'!N12</f>
        <v>3050</v>
      </c>
      <c r="O29" s="357">
        <f>'[2]TA'!O12</f>
        <v>2000</v>
      </c>
      <c r="P29" s="357">
        <f>'[2]TA'!P12</f>
        <v>9650</v>
      </c>
      <c r="Q29" s="357">
        <f>'[2]TA'!Q12</f>
        <v>3050</v>
      </c>
    </row>
    <row r="30" spans="1:17" ht="13.5">
      <c r="A30" s="331" t="s">
        <v>27</v>
      </c>
      <c r="B30" s="331" t="s">
        <v>852</v>
      </c>
      <c r="C30" s="354" t="str">
        <f>'[2]TA'!C20</f>
        <v>Luanda</v>
      </c>
      <c r="D30" s="355" t="str">
        <f>'[2]TA'!D20</f>
        <v>Subsidy to MoH NTD staff / Consultants</v>
      </c>
      <c r="E30" s="356">
        <f>'[2]TA'!E20</f>
        <v>55200</v>
      </c>
      <c r="F30" s="357">
        <f>'[2]TA'!F20</f>
        <v>4600</v>
      </c>
      <c r="G30" s="357">
        <f>'[2]TA'!G20</f>
        <v>4600</v>
      </c>
      <c r="H30" s="357">
        <f>'[2]TA'!H20</f>
        <v>4600</v>
      </c>
      <c r="I30" s="357">
        <f>'[2]TA'!I20</f>
        <v>4600</v>
      </c>
      <c r="J30" s="357">
        <f>'[2]TA'!J20</f>
        <v>4600</v>
      </c>
      <c r="K30" s="357">
        <f>'[2]TA'!K20</f>
        <v>4600</v>
      </c>
      <c r="L30" s="357">
        <f>'[2]TA'!L20</f>
        <v>4600</v>
      </c>
      <c r="M30" s="357">
        <f>'[2]TA'!M20</f>
        <v>4600</v>
      </c>
      <c r="N30" s="357">
        <f>'[2]TA'!N20</f>
        <v>4600</v>
      </c>
      <c r="O30" s="357">
        <f>'[2]TA'!O20</f>
        <v>4600</v>
      </c>
      <c r="P30" s="357">
        <f>'[2]TA'!P20</f>
        <v>4600</v>
      </c>
      <c r="Q30" s="357">
        <f>'[2]TA'!Q20</f>
        <v>4600</v>
      </c>
    </row>
    <row r="31" spans="1:17" ht="13.5">
      <c r="A31" s="331" t="s">
        <v>27</v>
      </c>
      <c r="B31" s="331" t="s">
        <v>59</v>
      </c>
      <c r="C31" s="354" t="str">
        <f>'[2]TA'!C24</f>
        <v>Central</v>
      </c>
      <c r="D31" s="355" t="str">
        <f>'[2]TA'!D24</f>
        <v>Daily labor (e.g. replacement guards, drivers, etc.)</v>
      </c>
      <c r="E31" s="356">
        <f>'[2]TA'!E24</f>
        <v>3600</v>
      </c>
      <c r="F31" s="357">
        <f>'[2]TA'!F24</f>
        <v>300</v>
      </c>
      <c r="G31" s="357">
        <f>'[2]TA'!G24</f>
        <v>300</v>
      </c>
      <c r="H31" s="357">
        <f>'[2]TA'!H24</f>
        <v>300</v>
      </c>
      <c r="I31" s="357">
        <f>'[2]TA'!I24</f>
        <v>300</v>
      </c>
      <c r="J31" s="357">
        <f>'[2]TA'!J24</f>
        <v>300</v>
      </c>
      <c r="K31" s="357">
        <f>'[2]TA'!K24</f>
        <v>300</v>
      </c>
      <c r="L31" s="357">
        <f>'[2]TA'!L24</f>
        <v>300</v>
      </c>
      <c r="M31" s="357">
        <f>'[2]TA'!M24</f>
        <v>300</v>
      </c>
      <c r="N31" s="357">
        <f>'[2]TA'!N24</f>
        <v>300</v>
      </c>
      <c r="O31" s="357">
        <f>'[2]TA'!O24</f>
        <v>300</v>
      </c>
      <c r="P31" s="357">
        <f>'[2]TA'!P24</f>
        <v>300</v>
      </c>
      <c r="Q31" s="357">
        <f>'[2]TA'!Q24</f>
        <v>300</v>
      </c>
    </row>
    <row r="32" spans="1:17" ht="13.5">
      <c r="A32" s="331" t="s">
        <v>27</v>
      </c>
      <c r="B32" s="331" t="s">
        <v>59</v>
      </c>
      <c r="C32" s="354" t="str">
        <f>'[2]TA'!C25</f>
        <v>Luanda</v>
      </c>
      <c r="D32" s="355" t="str">
        <f>'[2]TA'!D25</f>
        <v>Daily labor (e.g replacement driver, repairs, etc.)</v>
      </c>
      <c r="E32" s="356">
        <f>'[2]TA'!E25</f>
        <v>1200</v>
      </c>
      <c r="F32" s="357">
        <f>'[2]TA'!F25</f>
        <v>100</v>
      </c>
      <c r="G32" s="357">
        <f>'[2]TA'!G25</f>
        <v>100</v>
      </c>
      <c r="H32" s="357">
        <f>'[2]TA'!H25</f>
        <v>100</v>
      </c>
      <c r="I32" s="357">
        <f>'[2]TA'!I25</f>
        <v>100</v>
      </c>
      <c r="J32" s="357">
        <f>'[2]TA'!J25</f>
        <v>100</v>
      </c>
      <c r="K32" s="357">
        <f>'[2]TA'!K25</f>
        <v>100</v>
      </c>
      <c r="L32" s="357">
        <f>'[2]TA'!L25</f>
        <v>100</v>
      </c>
      <c r="M32" s="357">
        <f>'[2]TA'!M25</f>
        <v>100</v>
      </c>
      <c r="N32" s="357">
        <f>'[2]TA'!N25</f>
        <v>100</v>
      </c>
      <c r="O32" s="357">
        <f>'[2]TA'!O25</f>
        <v>100</v>
      </c>
      <c r="P32" s="357">
        <f>'[2]TA'!P25</f>
        <v>100</v>
      </c>
      <c r="Q32" s="357">
        <f>'[2]TA'!Q25</f>
        <v>100</v>
      </c>
    </row>
    <row r="33" spans="1:17" ht="13.5">
      <c r="A33" s="331" t="s">
        <v>27</v>
      </c>
      <c r="B33" s="331" t="s">
        <v>59</v>
      </c>
      <c r="C33" s="354" t="str">
        <f>'[2]TA'!C26</f>
        <v>Uige</v>
      </c>
      <c r="D33" s="355" t="str">
        <f>'[2]TA'!D26</f>
        <v>Daily labor (e.g. replacement guards, drivers, etc. )</v>
      </c>
      <c r="E33" s="356">
        <f>'[2]TA'!E26</f>
        <v>2400</v>
      </c>
      <c r="F33" s="357">
        <f>'[2]TA'!F26</f>
        <v>200</v>
      </c>
      <c r="G33" s="357">
        <f>'[2]TA'!G26</f>
        <v>200</v>
      </c>
      <c r="H33" s="357">
        <f>'[2]TA'!H26</f>
        <v>200</v>
      </c>
      <c r="I33" s="357">
        <f>'[2]TA'!I26</f>
        <v>200</v>
      </c>
      <c r="J33" s="357">
        <f>'[2]TA'!J26</f>
        <v>200</v>
      </c>
      <c r="K33" s="357">
        <f>'[2]TA'!K26</f>
        <v>200</v>
      </c>
      <c r="L33" s="357">
        <f>'[2]TA'!L26</f>
        <v>200</v>
      </c>
      <c r="M33" s="357">
        <f>'[2]TA'!M26</f>
        <v>200</v>
      </c>
      <c r="N33" s="357">
        <f>'[2]TA'!N26</f>
        <v>200</v>
      </c>
      <c r="O33" s="357">
        <f>'[2]TA'!O26</f>
        <v>200</v>
      </c>
      <c r="P33" s="357">
        <f>'[2]TA'!P26</f>
        <v>200</v>
      </c>
      <c r="Q33" s="357">
        <f>'[2]TA'!Q26</f>
        <v>200</v>
      </c>
    </row>
    <row r="34" spans="1:17" ht="13.5">
      <c r="A34" s="331" t="s">
        <v>27</v>
      </c>
      <c r="B34" s="331" t="s">
        <v>59</v>
      </c>
      <c r="C34" s="354" t="str">
        <f>'[2]TA'!C27</f>
        <v>Zaire</v>
      </c>
      <c r="D34" s="355" t="str">
        <f>'[2]TA'!D27</f>
        <v>Daily labor (e.g. replacement guards, drivers, etc. )</v>
      </c>
      <c r="E34" s="356">
        <f>'[2]TA'!E27</f>
        <v>1800</v>
      </c>
      <c r="F34" s="357">
        <f>'[2]TA'!F27</f>
        <v>150</v>
      </c>
      <c r="G34" s="357">
        <f>'[2]TA'!G27</f>
        <v>150</v>
      </c>
      <c r="H34" s="357">
        <f>'[2]TA'!H27</f>
        <v>150</v>
      </c>
      <c r="I34" s="357">
        <f>'[2]TA'!I27</f>
        <v>150</v>
      </c>
      <c r="J34" s="357">
        <f>'[2]TA'!J27</f>
        <v>150</v>
      </c>
      <c r="K34" s="357">
        <f>'[2]TA'!K27</f>
        <v>150</v>
      </c>
      <c r="L34" s="357">
        <f>'[2]TA'!L27</f>
        <v>150</v>
      </c>
      <c r="M34" s="357">
        <f>'[2]TA'!M27</f>
        <v>150</v>
      </c>
      <c r="N34" s="357">
        <f>'[2]TA'!N27</f>
        <v>150</v>
      </c>
      <c r="O34" s="357">
        <f>'[2]TA'!O27</f>
        <v>150</v>
      </c>
      <c r="P34" s="357">
        <f>'[2]TA'!P27</f>
        <v>150</v>
      </c>
      <c r="Q34" s="357">
        <f>'[2]TA'!Q27</f>
        <v>150</v>
      </c>
    </row>
    <row r="35" spans="1:17" ht="13.5">
      <c r="A35" s="331" t="s">
        <v>27</v>
      </c>
      <c r="B35" s="331" t="s">
        <v>59</v>
      </c>
      <c r="C35" s="354" t="str">
        <f>'[2]TA'!C28</f>
        <v>Bie</v>
      </c>
      <c r="D35" s="355" t="str">
        <f>'[2]TA'!D28</f>
        <v>Daily labor (e.g. replacement guards, drivers, etc. )</v>
      </c>
      <c r="E35" s="356">
        <f>'[2]TA'!E28</f>
        <v>1200</v>
      </c>
      <c r="F35" s="357">
        <f>'[2]TA'!F28</f>
        <v>100</v>
      </c>
      <c r="G35" s="357">
        <f>'[2]TA'!G28</f>
        <v>100</v>
      </c>
      <c r="H35" s="357">
        <f>'[2]TA'!H28</f>
        <v>100</v>
      </c>
      <c r="I35" s="357">
        <f>'[2]TA'!I28</f>
        <v>100</v>
      </c>
      <c r="J35" s="357">
        <f>'[2]TA'!J28</f>
        <v>100</v>
      </c>
      <c r="K35" s="357">
        <f>'[2]TA'!K28</f>
        <v>100</v>
      </c>
      <c r="L35" s="357">
        <f>'[2]TA'!L28</f>
        <v>100</v>
      </c>
      <c r="M35" s="357">
        <f>'[2]TA'!M28</f>
        <v>100</v>
      </c>
      <c r="N35" s="357">
        <f>'[2]TA'!N28</f>
        <v>100</v>
      </c>
      <c r="O35" s="357">
        <f>'[2]TA'!O28</f>
        <v>100</v>
      </c>
      <c r="P35" s="357">
        <f>'[2]TA'!P28</f>
        <v>100</v>
      </c>
      <c r="Q35" s="357">
        <f>'[2]TA'!Q28</f>
        <v>100</v>
      </c>
    </row>
    <row r="36" spans="1:17" ht="13.5">
      <c r="A36" s="331" t="s">
        <v>34</v>
      </c>
      <c r="B36" s="331" t="s">
        <v>59</v>
      </c>
      <c r="C36" s="354" t="str">
        <f>'[2]P&amp;A'!C4</f>
        <v>Central</v>
      </c>
      <c r="D36" s="358" t="str">
        <f>'[2]P&amp;A'!D9</f>
        <v>Rent Office &amp; staff accom</v>
      </c>
      <c r="E36" s="350">
        <f>'[2]P&amp;A'!E9</f>
        <v>126100</v>
      </c>
      <c r="F36" s="357">
        <f>'[2]P&amp;A'!F9</f>
        <v>39000</v>
      </c>
      <c r="G36" s="357">
        <f>'[2]P&amp;A'!G9</f>
        <v>3500</v>
      </c>
      <c r="H36" s="357">
        <f>'[2]P&amp;A'!H9</f>
        <v>0</v>
      </c>
      <c r="I36" s="357">
        <f>'[2]P&amp;A'!I9</f>
        <v>0</v>
      </c>
      <c r="J36" s="357">
        <f>'[2]P&amp;A'!J9</f>
        <v>0</v>
      </c>
      <c r="K36" s="357">
        <f>'[2]P&amp;A'!K9</f>
        <v>56600</v>
      </c>
      <c r="L36" s="357">
        <f>'[2]P&amp;A'!L9</f>
        <v>27000</v>
      </c>
      <c r="M36" s="357">
        <f>'[2]P&amp;A'!M9</f>
        <v>0</v>
      </c>
      <c r="N36" s="357">
        <f>'[2]P&amp;A'!N9</f>
        <v>0</v>
      </c>
      <c r="O36" s="357">
        <f>'[2]P&amp;A'!O9</f>
        <v>0</v>
      </c>
      <c r="P36" s="357">
        <f>'[2]P&amp;A'!P9</f>
        <v>0</v>
      </c>
      <c r="Q36" s="357">
        <f>'[2]P&amp;A'!Q9</f>
        <v>0</v>
      </c>
    </row>
    <row r="37" spans="1:17" ht="13.5">
      <c r="A37" s="331" t="s">
        <v>34</v>
      </c>
      <c r="B37" s="331" t="s">
        <v>59</v>
      </c>
      <c r="C37" s="354" t="str">
        <f>'[2]P&amp;A'!C13</f>
        <v>Central</v>
      </c>
      <c r="D37" s="355" t="str">
        <f>'[2]P&amp;A'!D13</f>
        <v>Office &amp; accom running (utilities, stationary, communication, bank fees, representation, etc)</v>
      </c>
      <c r="E37" s="350">
        <f>'[2]P&amp;A'!E13</f>
        <v>12000</v>
      </c>
      <c r="F37" s="357">
        <f>'[2]P&amp;A'!F13</f>
        <v>1000</v>
      </c>
      <c r="G37" s="357">
        <f>'[2]P&amp;A'!G13</f>
        <v>1000</v>
      </c>
      <c r="H37" s="357">
        <f>'[2]P&amp;A'!H13</f>
        <v>1000</v>
      </c>
      <c r="I37" s="357">
        <f>'[2]P&amp;A'!I13</f>
        <v>1000</v>
      </c>
      <c r="J37" s="357">
        <f>'[2]P&amp;A'!J13</f>
        <v>1000</v>
      </c>
      <c r="K37" s="357">
        <f>'[2]P&amp;A'!K13</f>
        <v>1000</v>
      </c>
      <c r="L37" s="357">
        <f>'[2]P&amp;A'!L13</f>
        <v>1000</v>
      </c>
      <c r="M37" s="357">
        <f>'[2]P&amp;A'!M13</f>
        <v>1000</v>
      </c>
      <c r="N37" s="357">
        <f>'[2]P&amp;A'!N13</f>
        <v>1000</v>
      </c>
      <c r="O37" s="357">
        <f>'[2]P&amp;A'!O13</f>
        <v>1000</v>
      </c>
      <c r="P37" s="357">
        <f>'[2]P&amp;A'!P13</f>
        <v>1000</v>
      </c>
      <c r="Q37" s="357">
        <f>'[2]P&amp;A'!Q13</f>
        <v>1000</v>
      </c>
    </row>
    <row r="38" spans="1:17" ht="13.5">
      <c r="A38" s="331" t="s">
        <v>34</v>
      </c>
      <c r="B38" s="331" t="s">
        <v>59</v>
      </c>
      <c r="C38" s="354" t="str">
        <f>'[2]P&amp;A'!C21</f>
        <v>Central</v>
      </c>
      <c r="D38" s="355" t="str">
        <f>'[2]P&amp;A'!D21</f>
        <v>National travel </v>
      </c>
      <c r="E38" s="350">
        <f>'[2]P&amp;A'!E21</f>
        <v>9600</v>
      </c>
      <c r="F38" s="357">
        <f>'[2]P&amp;A'!F21</f>
        <v>800</v>
      </c>
      <c r="G38" s="357">
        <f>'[2]P&amp;A'!G21</f>
        <v>800</v>
      </c>
      <c r="H38" s="357">
        <f>'[2]P&amp;A'!H21</f>
        <v>800</v>
      </c>
      <c r="I38" s="357">
        <f>'[2]P&amp;A'!I21</f>
        <v>800</v>
      </c>
      <c r="J38" s="357">
        <f>'[2]P&amp;A'!J21</f>
        <v>800</v>
      </c>
      <c r="K38" s="357">
        <f>'[2]P&amp;A'!K21</f>
        <v>800</v>
      </c>
      <c r="L38" s="357">
        <f>'[2]P&amp;A'!L21</f>
        <v>800</v>
      </c>
      <c r="M38" s="357">
        <f>'[2]P&amp;A'!M21</f>
        <v>800</v>
      </c>
      <c r="N38" s="357">
        <f>'[2]P&amp;A'!N21</f>
        <v>800</v>
      </c>
      <c r="O38" s="357">
        <f>'[2]P&amp;A'!O21</f>
        <v>800</v>
      </c>
      <c r="P38" s="357">
        <f>'[2]P&amp;A'!P21</f>
        <v>800</v>
      </c>
      <c r="Q38" s="357">
        <f>'[2]P&amp;A'!Q21</f>
        <v>800</v>
      </c>
    </row>
    <row r="39" spans="1:17" ht="13.5">
      <c r="A39" s="331" t="s">
        <v>34</v>
      </c>
      <c r="B39" s="331" t="s">
        <v>59</v>
      </c>
      <c r="C39" s="354" t="str">
        <f>'[2]P&amp;A'!C22</f>
        <v>Central</v>
      </c>
      <c r="D39" s="355" t="str">
        <f>'[2]P&amp;A'!D22</f>
        <v>Translations &amp; legal fees </v>
      </c>
      <c r="E39" s="350">
        <f>'[2]P&amp;A'!E22</f>
        <v>3000</v>
      </c>
      <c r="F39" s="357">
        <f>'[2]P&amp;A'!F22</f>
        <v>250</v>
      </c>
      <c r="G39" s="357">
        <f>'[2]P&amp;A'!G22</f>
        <v>250</v>
      </c>
      <c r="H39" s="357">
        <f>'[2]P&amp;A'!H22</f>
        <v>250</v>
      </c>
      <c r="I39" s="357">
        <f>'[2]P&amp;A'!I22</f>
        <v>250</v>
      </c>
      <c r="J39" s="357">
        <f>'[2]P&amp;A'!J22</f>
        <v>250</v>
      </c>
      <c r="K39" s="357">
        <f>'[2]P&amp;A'!K22</f>
        <v>250</v>
      </c>
      <c r="L39" s="357">
        <f>'[2]P&amp;A'!L22</f>
        <v>250</v>
      </c>
      <c r="M39" s="357">
        <f>'[2]P&amp;A'!M22</f>
        <v>250</v>
      </c>
      <c r="N39" s="357">
        <f>'[2]P&amp;A'!N22</f>
        <v>250</v>
      </c>
      <c r="O39" s="357">
        <f>'[2]P&amp;A'!O22</f>
        <v>250</v>
      </c>
      <c r="P39" s="357">
        <f>'[2]P&amp;A'!P22</f>
        <v>250</v>
      </c>
      <c r="Q39" s="357">
        <f>'[2]P&amp;A'!Q22</f>
        <v>250</v>
      </c>
    </row>
    <row r="40" spans="1:17" ht="13.5">
      <c r="A40" s="331" t="s">
        <v>34</v>
      </c>
      <c r="B40" s="331" t="s">
        <v>59</v>
      </c>
      <c r="C40" s="354" t="str">
        <f>'[2]P&amp;A'!C23</f>
        <v>Central</v>
      </c>
      <c r="D40" s="355" t="str">
        <f>'[2]P&amp;A'!D23</f>
        <v>Mid term F&amp;A evaluation</v>
      </c>
      <c r="E40" s="350">
        <f>'[2]P&amp;A'!E23</f>
        <v>0</v>
      </c>
      <c r="F40" s="357">
        <f>'[2]P&amp;A'!F23</f>
        <v>0</v>
      </c>
      <c r="G40" s="357">
        <f>'[2]P&amp;A'!G23</f>
        <v>0</v>
      </c>
      <c r="H40" s="357">
        <f>'[2]P&amp;A'!H23</f>
        <v>0</v>
      </c>
      <c r="I40" s="357">
        <f>'[2]P&amp;A'!I23</f>
        <v>0</v>
      </c>
      <c r="J40" s="357">
        <f>'[2]P&amp;A'!J23</f>
        <v>0</v>
      </c>
      <c r="K40" s="357">
        <f>'[2]P&amp;A'!K23</f>
        <v>0</v>
      </c>
      <c r="L40" s="357">
        <f>'[2]P&amp;A'!L23</f>
        <v>0</v>
      </c>
      <c r="M40" s="357">
        <f>'[2]P&amp;A'!M23</f>
        <v>0</v>
      </c>
      <c r="N40" s="357">
        <f>'[2]P&amp;A'!N23</f>
        <v>0</v>
      </c>
      <c r="O40" s="357">
        <f>'[2]P&amp;A'!O23</f>
        <v>0</v>
      </c>
      <c r="P40" s="357">
        <f>'[2]P&amp;A'!P23</f>
        <v>0</v>
      </c>
      <c r="Q40" s="357">
        <f>'[2]P&amp;A'!Q23</f>
        <v>0</v>
      </c>
    </row>
    <row r="41" spans="1:17" ht="13.5">
      <c r="A41" s="331" t="s">
        <v>34</v>
      </c>
      <c r="B41" s="331" t="s">
        <v>59</v>
      </c>
      <c r="C41" s="354" t="str">
        <f>'[2]P&amp;A'!C24</f>
        <v>HQ</v>
      </c>
      <c r="D41" s="355" t="str">
        <f>'[2]P&amp;A'!D24</f>
        <v>Audit fees</v>
      </c>
      <c r="E41" s="350">
        <f>'[2]P&amp;A'!E24</f>
        <v>7500</v>
      </c>
      <c r="F41" s="357">
        <f>'[2]P&amp;A'!F24</f>
        <v>0</v>
      </c>
      <c r="G41" s="357">
        <f>'[2]P&amp;A'!G24</f>
        <v>0</v>
      </c>
      <c r="H41" s="357">
        <f>'[2]P&amp;A'!H24</f>
        <v>0</v>
      </c>
      <c r="I41" s="357">
        <f>'[2]P&amp;A'!I24</f>
        <v>0</v>
      </c>
      <c r="J41" s="357">
        <f>'[2]P&amp;A'!J24</f>
        <v>0</v>
      </c>
      <c r="K41" s="357">
        <f>'[2]P&amp;A'!K24</f>
        <v>7500</v>
      </c>
      <c r="L41" s="357">
        <f>'[2]P&amp;A'!L24</f>
        <v>0</v>
      </c>
      <c r="M41" s="357">
        <f>'[2]P&amp;A'!M24</f>
        <v>0</v>
      </c>
      <c r="N41" s="357">
        <f>'[2]P&amp;A'!N24</f>
        <v>0</v>
      </c>
      <c r="O41" s="357">
        <f>'[2]P&amp;A'!O24</f>
        <v>0</v>
      </c>
      <c r="P41" s="357">
        <f>'[2]P&amp;A'!P24</f>
        <v>0</v>
      </c>
      <c r="Q41" s="357">
        <f>'[2]P&amp;A'!Q24</f>
        <v>0</v>
      </c>
    </row>
    <row r="42" spans="1:17" ht="13.5">
      <c r="A42" s="331" t="s">
        <v>34</v>
      </c>
      <c r="B42" s="331" t="s">
        <v>59</v>
      </c>
      <c r="C42" s="354" t="str">
        <f>'[2]P&amp;A'!C14</f>
        <v>Luanda</v>
      </c>
      <c r="D42" s="355" t="str">
        <f>'[2]P&amp;A'!D14</f>
        <v>Office &amp; accom running (utilities, stationary, communication, bank fees, etc)</v>
      </c>
      <c r="E42" s="350">
        <f>'[2]P&amp;A'!E14</f>
        <v>4800</v>
      </c>
      <c r="F42" s="357">
        <f>'[2]P&amp;A'!F14</f>
        <v>400</v>
      </c>
      <c r="G42" s="357">
        <f>'[2]P&amp;A'!G14</f>
        <v>400</v>
      </c>
      <c r="H42" s="357">
        <f>'[2]P&amp;A'!H14</f>
        <v>400</v>
      </c>
      <c r="I42" s="357">
        <f>'[2]P&amp;A'!I14</f>
        <v>400</v>
      </c>
      <c r="J42" s="357">
        <f>'[2]P&amp;A'!J14</f>
        <v>400</v>
      </c>
      <c r="K42" s="357">
        <f>'[2]P&amp;A'!K14</f>
        <v>400</v>
      </c>
      <c r="L42" s="357">
        <f>'[2]P&amp;A'!L14</f>
        <v>400</v>
      </c>
      <c r="M42" s="357">
        <f>'[2]P&amp;A'!M14</f>
        <v>400</v>
      </c>
      <c r="N42" s="357">
        <f>'[2]P&amp;A'!N14</f>
        <v>400</v>
      </c>
      <c r="O42" s="357">
        <f>'[2]P&amp;A'!O14</f>
        <v>400</v>
      </c>
      <c r="P42" s="357">
        <f>'[2]P&amp;A'!P14</f>
        <v>400</v>
      </c>
      <c r="Q42" s="357">
        <f>'[2]P&amp;A'!Q14</f>
        <v>400</v>
      </c>
    </row>
    <row r="43" spans="1:17" ht="13.5">
      <c r="A43" s="331" t="s">
        <v>34</v>
      </c>
      <c r="B43" s="331" t="s">
        <v>59</v>
      </c>
      <c r="C43" s="354" t="str">
        <f>'[2]P&amp;A'!C15</f>
        <v>Uige</v>
      </c>
      <c r="D43" s="355" t="str">
        <f>'[2]P&amp;A'!D15</f>
        <v>Office &amp; accom running (utilities, stationary, communication, bank fees, etc)</v>
      </c>
      <c r="E43" s="350">
        <f>'[2]P&amp;A'!E15</f>
        <v>7200</v>
      </c>
      <c r="F43" s="357">
        <f>'[2]P&amp;A'!F15</f>
        <v>600</v>
      </c>
      <c r="G43" s="357">
        <f>'[2]P&amp;A'!G15</f>
        <v>600</v>
      </c>
      <c r="H43" s="357">
        <f>'[2]P&amp;A'!H15</f>
        <v>600</v>
      </c>
      <c r="I43" s="357">
        <f>'[2]P&amp;A'!I15</f>
        <v>600</v>
      </c>
      <c r="J43" s="357">
        <f>'[2]P&amp;A'!J15</f>
        <v>600</v>
      </c>
      <c r="K43" s="357">
        <f>'[2]P&amp;A'!K15</f>
        <v>600</v>
      </c>
      <c r="L43" s="357">
        <f>'[2]P&amp;A'!L15</f>
        <v>600</v>
      </c>
      <c r="M43" s="357">
        <f>'[2]P&amp;A'!M15</f>
        <v>600</v>
      </c>
      <c r="N43" s="357">
        <f>'[2]P&amp;A'!N15</f>
        <v>600</v>
      </c>
      <c r="O43" s="357">
        <f>'[2]P&amp;A'!O15</f>
        <v>600</v>
      </c>
      <c r="P43" s="357">
        <f>'[2]P&amp;A'!P15</f>
        <v>600</v>
      </c>
      <c r="Q43" s="357">
        <f>'[2]P&amp;A'!Q15</f>
        <v>600</v>
      </c>
    </row>
    <row r="44" spans="1:17" ht="13.5">
      <c r="A44" s="331" t="s">
        <v>34</v>
      </c>
      <c r="B44" s="331" t="s">
        <v>59</v>
      </c>
      <c r="C44" s="354" t="str">
        <f>'[2]P&amp;A'!C16</f>
        <v>Zaire</v>
      </c>
      <c r="D44" s="355" t="str">
        <f>'[2]P&amp;A'!D16</f>
        <v>Office &amp; accom running (utilities, stationary, communication, bank fees, etc)</v>
      </c>
      <c r="E44" s="350">
        <f>'[2]P&amp;A'!E16</f>
        <v>4000</v>
      </c>
      <c r="F44" s="357">
        <f>'[2]P&amp;A'!F16</f>
        <v>500</v>
      </c>
      <c r="G44" s="357">
        <f>'[2]P&amp;A'!G16</f>
        <v>250</v>
      </c>
      <c r="H44" s="357">
        <f>'[2]P&amp;A'!H16</f>
        <v>250</v>
      </c>
      <c r="I44" s="357">
        <f>'[2]P&amp;A'!I16</f>
        <v>500</v>
      </c>
      <c r="J44" s="357">
        <f>'[2]P&amp;A'!J16</f>
        <v>250</v>
      </c>
      <c r="K44" s="357">
        <f>'[2]P&amp;A'!K16</f>
        <v>250</v>
      </c>
      <c r="L44" s="357">
        <f>'[2]P&amp;A'!L16</f>
        <v>500</v>
      </c>
      <c r="M44" s="357">
        <f>'[2]P&amp;A'!M16</f>
        <v>250</v>
      </c>
      <c r="N44" s="357">
        <f>'[2]P&amp;A'!N16</f>
        <v>250</v>
      </c>
      <c r="O44" s="357">
        <f>'[2]P&amp;A'!O16</f>
        <v>500</v>
      </c>
      <c r="P44" s="357">
        <f>'[2]P&amp;A'!P16</f>
        <v>250</v>
      </c>
      <c r="Q44" s="357">
        <f>'[2]P&amp;A'!Q16</f>
        <v>250</v>
      </c>
    </row>
    <row r="45" spans="1:17" ht="13.5">
      <c r="A45" s="331" t="s">
        <v>34</v>
      </c>
      <c r="B45" s="331" t="s">
        <v>59</v>
      </c>
      <c r="C45" s="354" t="str">
        <f>'[2]P&amp;A'!C17</f>
        <v>Bie</v>
      </c>
      <c r="D45" s="359" t="str">
        <f>'[2]P&amp;A'!D17</f>
        <v>Office &amp; accom running (utilities, stationary, communication, bank fees, etc)</v>
      </c>
      <c r="E45" s="350">
        <f>'[2]P&amp;A'!E17</f>
        <v>4000</v>
      </c>
      <c r="F45" s="357">
        <f>'[2]P&amp;A'!F17</f>
        <v>500</v>
      </c>
      <c r="G45" s="357">
        <f>'[2]P&amp;A'!G17</f>
        <v>250</v>
      </c>
      <c r="H45" s="357">
        <f>'[2]P&amp;A'!H17</f>
        <v>250</v>
      </c>
      <c r="I45" s="357">
        <f>'[2]P&amp;A'!I17</f>
        <v>500</v>
      </c>
      <c r="J45" s="357">
        <f>'[2]P&amp;A'!J17</f>
        <v>250</v>
      </c>
      <c r="K45" s="357">
        <f>'[2]P&amp;A'!K17</f>
        <v>250</v>
      </c>
      <c r="L45" s="357">
        <f>'[2]P&amp;A'!L17</f>
        <v>500</v>
      </c>
      <c r="M45" s="357">
        <f>'[2]P&amp;A'!M17</f>
        <v>250</v>
      </c>
      <c r="N45" s="357">
        <f>'[2]P&amp;A'!N17</f>
        <v>250</v>
      </c>
      <c r="O45" s="357">
        <f>'[2]P&amp;A'!O17</f>
        <v>500</v>
      </c>
      <c r="P45" s="357">
        <f>'[2]P&amp;A'!P17</f>
        <v>250</v>
      </c>
      <c r="Q45" s="357">
        <f>'[2]P&amp;A'!Q17</f>
        <v>250</v>
      </c>
    </row>
    <row r="46" spans="1:17" ht="13.5">
      <c r="A46" s="331" t="s">
        <v>34</v>
      </c>
      <c r="B46" s="331" t="s">
        <v>59</v>
      </c>
      <c r="C46" s="354" t="str">
        <f>'[2]P&amp;A'!C28</f>
        <v>Huambo</v>
      </c>
      <c r="D46" s="359" t="str">
        <f>'[2]P&amp;A'!D28</f>
        <v>staff travel &amp; accommodation</v>
      </c>
      <c r="E46" s="350">
        <f>'[2]P&amp;A'!E28</f>
        <v>3000</v>
      </c>
      <c r="F46" s="357">
        <f>'[2]P&amp;A'!F28</f>
        <v>250</v>
      </c>
      <c r="G46" s="357">
        <f>'[2]P&amp;A'!G28</f>
        <v>250</v>
      </c>
      <c r="H46" s="357">
        <f>'[2]P&amp;A'!H28</f>
        <v>250</v>
      </c>
      <c r="I46" s="357">
        <f>'[2]P&amp;A'!I28</f>
        <v>250</v>
      </c>
      <c r="J46" s="357">
        <f>'[2]P&amp;A'!J28</f>
        <v>250</v>
      </c>
      <c r="K46" s="357">
        <f>'[2]P&amp;A'!K28</f>
        <v>250</v>
      </c>
      <c r="L46" s="357">
        <f>'[2]P&amp;A'!L28</f>
        <v>250</v>
      </c>
      <c r="M46" s="357">
        <f>'[2]P&amp;A'!M28</f>
        <v>250</v>
      </c>
      <c r="N46" s="357">
        <f>'[2]P&amp;A'!N28</f>
        <v>250</v>
      </c>
      <c r="O46" s="357">
        <f>'[2]P&amp;A'!O28</f>
        <v>250</v>
      </c>
      <c r="P46" s="357">
        <f>'[2]P&amp;A'!P28</f>
        <v>250</v>
      </c>
      <c r="Q46" s="357">
        <f>'[2]P&amp;A'!Q28</f>
        <v>250</v>
      </c>
    </row>
    <row r="47" spans="1:17" ht="13.5">
      <c r="A47" s="331" t="s">
        <v>34</v>
      </c>
      <c r="B47" s="331" t="s">
        <v>59</v>
      </c>
      <c r="C47" s="354" t="str">
        <f>'[2]P&amp;A'!C29</f>
        <v>Uige</v>
      </c>
      <c r="D47" s="359" t="str">
        <f>'[2]P&amp;A'!D29</f>
        <v>staff travel &amp; accommodation</v>
      </c>
      <c r="E47" s="350">
        <f>'[2]P&amp;A'!E29</f>
        <v>3000</v>
      </c>
      <c r="F47" s="357">
        <f>'[2]P&amp;A'!F29</f>
        <v>250</v>
      </c>
      <c r="G47" s="357">
        <f>'[2]P&amp;A'!G29</f>
        <v>250</v>
      </c>
      <c r="H47" s="357">
        <f>'[2]P&amp;A'!H29</f>
        <v>250</v>
      </c>
      <c r="I47" s="357">
        <f>'[2]P&amp;A'!I29</f>
        <v>250</v>
      </c>
      <c r="J47" s="357">
        <f>'[2]P&amp;A'!J29</f>
        <v>250</v>
      </c>
      <c r="K47" s="357">
        <f>'[2]P&amp;A'!K29</f>
        <v>250</v>
      </c>
      <c r="L47" s="357">
        <f>'[2]P&amp;A'!L29</f>
        <v>250</v>
      </c>
      <c r="M47" s="357">
        <f>'[2]P&amp;A'!M29</f>
        <v>250</v>
      </c>
      <c r="N47" s="357">
        <f>'[2]P&amp;A'!N29</f>
        <v>250</v>
      </c>
      <c r="O47" s="357">
        <f>'[2]P&amp;A'!O29</f>
        <v>250</v>
      </c>
      <c r="P47" s="357">
        <f>'[2]P&amp;A'!P29</f>
        <v>250</v>
      </c>
      <c r="Q47" s="357">
        <f>'[2]P&amp;A'!Q29</f>
        <v>250</v>
      </c>
    </row>
    <row r="48" spans="1:17" ht="13.5">
      <c r="A48" s="331" t="s">
        <v>34</v>
      </c>
      <c r="B48" s="331" t="s">
        <v>59</v>
      </c>
      <c r="C48" s="354" t="str">
        <f>'[2]P&amp;A'!C30</f>
        <v>Zaire</v>
      </c>
      <c r="D48" s="359" t="str">
        <f>'[2]P&amp;A'!D30</f>
        <v>staff travel &amp; accommodation</v>
      </c>
      <c r="E48" s="350">
        <f>'[2]P&amp;A'!E30</f>
        <v>1200</v>
      </c>
      <c r="F48" s="357">
        <f>'[2]P&amp;A'!F30</f>
        <v>100</v>
      </c>
      <c r="G48" s="357">
        <f>'[2]P&amp;A'!G30</f>
        <v>100</v>
      </c>
      <c r="H48" s="357">
        <f>'[2]P&amp;A'!H30</f>
        <v>100</v>
      </c>
      <c r="I48" s="357">
        <f>'[2]P&amp;A'!I30</f>
        <v>100</v>
      </c>
      <c r="J48" s="357">
        <f>'[2]P&amp;A'!J30</f>
        <v>100</v>
      </c>
      <c r="K48" s="357">
        <f>'[2]P&amp;A'!K30</f>
        <v>100</v>
      </c>
      <c r="L48" s="357">
        <f>'[2]P&amp;A'!L30</f>
        <v>100</v>
      </c>
      <c r="M48" s="357">
        <f>'[2]P&amp;A'!M30</f>
        <v>100</v>
      </c>
      <c r="N48" s="357">
        <f>'[2]P&amp;A'!N30</f>
        <v>100</v>
      </c>
      <c r="O48" s="357">
        <f>'[2]P&amp;A'!O30</f>
        <v>100</v>
      </c>
      <c r="P48" s="357">
        <f>'[2]P&amp;A'!P30</f>
        <v>100</v>
      </c>
      <c r="Q48" s="357">
        <f>'[2]P&amp;A'!Q30</f>
        <v>100</v>
      </c>
    </row>
    <row r="49" spans="1:17" ht="13.5">
      <c r="A49" s="331" t="s">
        <v>34</v>
      </c>
      <c r="B49" s="331" t="s">
        <v>59</v>
      </c>
      <c r="C49" s="354" t="str">
        <f>'[2]P&amp;A'!C31</f>
        <v>Bie</v>
      </c>
      <c r="D49" s="359" t="str">
        <f>'[2]P&amp;A'!D31</f>
        <v>staff travel &amp; accommodation</v>
      </c>
      <c r="E49" s="350">
        <f>'[2]P&amp;A'!E31</f>
        <v>3000</v>
      </c>
      <c r="F49" s="357">
        <f>'[2]P&amp;A'!F31</f>
        <v>250</v>
      </c>
      <c r="G49" s="357">
        <f>'[2]P&amp;A'!G31</f>
        <v>250</v>
      </c>
      <c r="H49" s="357">
        <f>'[2]P&amp;A'!H31</f>
        <v>250</v>
      </c>
      <c r="I49" s="357">
        <f>'[2]P&amp;A'!I31</f>
        <v>250</v>
      </c>
      <c r="J49" s="357">
        <f>'[2]P&amp;A'!J31</f>
        <v>250</v>
      </c>
      <c r="K49" s="357">
        <f>'[2]P&amp;A'!K31</f>
        <v>250</v>
      </c>
      <c r="L49" s="357">
        <f>'[2]P&amp;A'!L31</f>
        <v>250</v>
      </c>
      <c r="M49" s="357">
        <f>'[2]P&amp;A'!M31</f>
        <v>250</v>
      </c>
      <c r="N49" s="357">
        <f>'[2]P&amp;A'!N31</f>
        <v>250</v>
      </c>
      <c r="O49" s="357">
        <f>'[2]P&amp;A'!O31</f>
        <v>250</v>
      </c>
      <c r="P49" s="357">
        <f>'[2]P&amp;A'!P31</f>
        <v>250</v>
      </c>
      <c r="Q49" s="357">
        <f>'[2]P&amp;A'!Q31</f>
        <v>250</v>
      </c>
    </row>
    <row r="50" spans="1:17" ht="13.5">
      <c r="A50" s="331" t="s">
        <v>32</v>
      </c>
      <c r="B50" s="331" t="s">
        <v>854</v>
      </c>
      <c r="C50" s="360" t="str">
        <f>'[2]Com'!C4</f>
        <v>Huambo</v>
      </c>
      <c r="D50" s="361" t="str">
        <f>'[2]Com'!D4</f>
        <v>Advocacy &amp; mobilization</v>
      </c>
      <c r="E50" s="352">
        <f>'[2]Com'!E4</f>
        <v>1500</v>
      </c>
      <c r="F50" s="351">
        <f>'[2]Com'!F4</f>
        <v>0</v>
      </c>
      <c r="G50" s="351">
        <f>'[2]Com'!G4</f>
        <v>1500</v>
      </c>
      <c r="H50" s="351">
        <f>'[2]Com'!H4</f>
        <v>0</v>
      </c>
      <c r="I50" s="351">
        <f>'[2]Com'!I4</f>
        <v>0</v>
      </c>
      <c r="J50" s="351">
        <f>'[2]Com'!J4</f>
        <v>0</v>
      </c>
      <c r="K50" s="351">
        <f>'[2]Com'!K4</f>
        <v>0</v>
      </c>
      <c r="L50" s="351">
        <f>'[2]Com'!L4</f>
        <v>0</v>
      </c>
      <c r="M50" s="351">
        <f>'[2]Com'!M4</f>
        <v>0</v>
      </c>
      <c r="N50" s="351">
        <f>'[2]Com'!N4</f>
        <v>0</v>
      </c>
      <c r="O50" s="351">
        <f>'[2]Com'!O4</f>
        <v>0</v>
      </c>
      <c r="P50" s="351">
        <f>'[2]Com'!P4</f>
        <v>0</v>
      </c>
      <c r="Q50" s="351">
        <f>'[2]Com'!Q4</f>
        <v>0</v>
      </c>
    </row>
    <row r="51" spans="1:17" ht="13.5">
      <c r="A51" s="331" t="s">
        <v>32</v>
      </c>
      <c r="B51" s="331" t="s">
        <v>854</v>
      </c>
      <c r="C51" s="360" t="str">
        <f>'[2]Com'!C5</f>
        <v>Uige</v>
      </c>
      <c r="D51" s="361" t="str">
        <f>'[2]Com'!D5</f>
        <v>Advocacy &amp; mobilization</v>
      </c>
      <c r="E51" s="352">
        <f>'[2]Com'!E5</f>
        <v>4500</v>
      </c>
      <c r="F51" s="351">
        <f>'[2]Com'!F5</f>
        <v>0</v>
      </c>
      <c r="G51" s="351">
        <f>'[2]Com'!G5</f>
        <v>0</v>
      </c>
      <c r="H51" s="351">
        <f>'[2]Com'!H5</f>
        <v>1500</v>
      </c>
      <c r="I51" s="351">
        <f>'[2]Com'!I5</f>
        <v>0</v>
      </c>
      <c r="J51" s="351">
        <f>'[2]Com'!J5</f>
        <v>0</v>
      </c>
      <c r="K51" s="351">
        <f>'[2]Com'!K5</f>
        <v>1500</v>
      </c>
      <c r="L51" s="351">
        <f>'[2]Com'!L5</f>
        <v>0</v>
      </c>
      <c r="M51" s="351">
        <f>'[2]Com'!M5</f>
        <v>0</v>
      </c>
      <c r="N51" s="351">
        <f>'[2]Com'!N5</f>
        <v>0</v>
      </c>
      <c r="O51" s="351">
        <f>'[2]Com'!O5</f>
        <v>0</v>
      </c>
      <c r="P51" s="351">
        <f>'[2]Com'!P5</f>
        <v>1500</v>
      </c>
      <c r="Q51" s="351">
        <f>'[2]Com'!Q5</f>
        <v>0</v>
      </c>
    </row>
    <row r="52" spans="1:17" ht="13.5">
      <c r="A52" s="331" t="s">
        <v>32</v>
      </c>
      <c r="B52" s="331" t="s">
        <v>854</v>
      </c>
      <c r="C52" s="360" t="str">
        <f>'[2]Com'!C6</f>
        <v>Zaire</v>
      </c>
      <c r="D52" s="361" t="str">
        <f>'[2]Com'!D6</f>
        <v>Advocacy &amp; mobilization</v>
      </c>
      <c r="E52" s="352">
        <f>'[2]Com'!E6</f>
        <v>1500</v>
      </c>
      <c r="F52" s="351">
        <f>'[2]Com'!F6</f>
        <v>0</v>
      </c>
      <c r="G52" s="351">
        <f>'[2]Com'!G6</f>
        <v>0</v>
      </c>
      <c r="H52" s="351">
        <f>'[2]Com'!H6</f>
        <v>0</v>
      </c>
      <c r="I52" s="351">
        <f>'[2]Com'!I6</f>
        <v>1500</v>
      </c>
      <c r="J52" s="351">
        <f>'[2]Com'!J6</f>
        <v>0</v>
      </c>
      <c r="K52" s="351">
        <f>'[2]Com'!K6</f>
        <v>0</v>
      </c>
      <c r="L52" s="351">
        <f>'[2]Com'!L6</f>
        <v>0</v>
      </c>
      <c r="M52" s="351">
        <f>'[2]Com'!M6</f>
        <v>0</v>
      </c>
      <c r="N52" s="351">
        <f>'[2]Com'!N6</f>
        <v>0</v>
      </c>
      <c r="O52" s="351">
        <f>'[2]Com'!O6</f>
        <v>0</v>
      </c>
      <c r="P52" s="351">
        <f>'[2]Com'!P6</f>
        <v>0</v>
      </c>
      <c r="Q52" s="351">
        <f>'[2]Com'!Q6</f>
        <v>0</v>
      </c>
    </row>
    <row r="53" spans="1:17" ht="13.5">
      <c r="A53" s="331" t="s">
        <v>32</v>
      </c>
      <c r="B53" s="331" t="s">
        <v>854</v>
      </c>
      <c r="C53" s="360" t="str">
        <f>'[2]Com'!C7</f>
        <v>Bie</v>
      </c>
      <c r="D53" s="361" t="str">
        <f>'[2]Com'!D7</f>
        <v>Advocacy &amp; mobilization</v>
      </c>
      <c r="E53" s="352">
        <f>'[2]Com'!E7</f>
        <v>1500</v>
      </c>
      <c r="F53" s="351">
        <f>'[2]Com'!F7</f>
        <v>0</v>
      </c>
      <c r="G53" s="351">
        <f>'[2]Com'!G7</f>
        <v>0</v>
      </c>
      <c r="H53" s="351">
        <f>'[2]Com'!H7</f>
        <v>0</v>
      </c>
      <c r="I53" s="351">
        <f>'[2]Com'!I7</f>
        <v>0</v>
      </c>
      <c r="J53" s="351">
        <f>'[2]Com'!J7</f>
        <v>1500</v>
      </c>
      <c r="K53" s="351">
        <f>'[2]Com'!K7</f>
        <v>0</v>
      </c>
      <c r="L53" s="351">
        <f>'[2]Com'!L7</f>
        <v>0</v>
      </c>
      <c r="M53" s="351">
        <f>'[2]Com'!M7</f>
        <v>0</v>
      </c>
      <c r="N53" s="351">
        <f>'[2]Com'!N7</f>
        <v>0</v>
      </c>
      <c r="O53" s="351">
        <f>'[2]Com'!O7</f>
        <v>0</v>
      </c>
      <c r="P53" s="351">
        <f>'[2]Com'!P7</f>
        <v>0</v>
      </c>
      <c r="Q53" s="351">
        <f>'[2]Com'!Q7</f>
        <v>0</v>
      </c>
    </row>
    <row r="54" spans="1:17" ht="13.5">
      <c r="A54" s="331" t="s">
        <v>32</v>
      </c>
      <c r="B54" s="331" t="s">
        <v>854</v>
      </c>
      <c r="C54" s="360" t="str">
        <f>'[2]Com'!C8</f>
        <v>Other</v>
      </c>
      <c r="D54" s="361" t="str">
        <f>'[2]Com'!D8</f>
        <v>Advocacy &amp; mobilization</v>
      </c>
      <c r="E54" s="352">
        <f>'[2]Com'!E8</f>
        <v>3000</v>
      </c>
      <c r="F54" s="351">
        <f>'[2]Com'!F8</f>
        <v>0</v>
      </c>
      <c r="G54" s="351">
        <f>'[2]Com'!G8</f>
        <v>0</v>
      </c>
      <c r="H54" s="351">
        <f>'[2]Com'!H8</f>
        <v>0</v>
      </c>
      <c r="I54" s="351">
        <f>'[2]Com'!I8</f>
        <v>1500</v>
      </c>
      <c r="J54" s="351">
        <f>'[2]Com'!J8</f>
        <v>0</v>
      </c>
      <c r="K54" s="351">
        <f>'[2]Com'!K8</f>
        <v>0</v>
      </c>
      <c r="L54" s="351">
        <f>'[2]Com'!L8</f>
        <v>1500</v>
      </c>
      <c r="M54" s="351">
        <f>'[2]Com'!M8</f>
        <v>0</v>
      </c>
      <c r="N54" s="351">
        <f>'[2]Com'!N8</f>
        <v>0</v>
      </c>
      <c r="O54" s="351">
        <f>'[2]Com'!O8</f>
        <v>0</v>
      </c>
      <c r="P54" s="351">
        <f>'[2]Com'!P8</f>
        <v>0</v>
      </c>
      <c r="Q54" s="351">
        <f>'[2]Com'!Q8</f>
        <v>0</v>
      </c>
    </row>
    <row r="55" spans="1:17" ht="13.5">
      <c r="A55" s="331" t="s">
        <v>32</v>
      </c>
      <c r="B55" s="331" t="s">
        <v>853</v>
      </c>
      <c r="C55" s="362" t="str">
        <f>'[2]Com'!C9</f>
        <v>Huambo</v>
      </c>
      <c r="D55" s="363" t="str">
        <f>'[2]Com'!D9</f>
        <v>IEC materials</v>
      </c>
      <c r="E55" s="352">
        <f>'[2]Com'!E9</f>
        <v>7830</v>
      </c>
      <c r="F55" s="364">
        <f>'[2]Com'!F9</f>
        <v>7830</v>
      </c>
      <c r="G55" s="364">
        <f>'[2]Com'!G9</f>
        <v>0</v>
      </c>
      <c r="H55" s="364">
        <f>'[2]Com'!H9</f>
        <v>0</v>
      </c>
      <c r="I55" s="364">
        <f>'[2]Com'!I9</f>
        <v>0</v>
      </c>
      <c r="J55" s="364">
        <f>'[2]Com'!J9</f>
        <v>0</v>
      </c>
      <c r="K55" s="364">
        <f>'[2]Com'!K9</f>
        <v>0</v>
      </c>
      <c r="L55" s="364">
        <f>'[2]Com'!L9</f>
        <v>0</v>
      </c>
      <c r="M55" s="364">
        <f>'[2]Com'!M9</f>
        <v>0</v>
      </c>
      <c r="N55" s="364">
        <f>'[2]Com'!N9</f>
        <v>0</v>
      </c>
      <c r="O55" s="364">
        <f>'[2]Com'!O9</f>
        <v>0</v>
      </c>
      <c r="P55" s="364">
        <f>'[2]Com'!P9</f>
        <v>0</v>
      </c>
      <c r="Q55" s="364">
        <f>'[2]Com'!Q9</f>
        <v>0</v>
      </c>
    </row>
    <row r="56" spans="1:17" ht="13.5">
      <c r="A56" s="331" t="s">
        <v>32</v>
      </c>
      <c r="B56" s="331" t="s">
        <v>853</v>
      </c>
      <c r="C56" s="362" t="str">
        <f>'[2]Com'!C10</f>
        <v>Uige</v>
      </c>
      <c r="D56" s="363" t="str">
        <f>'[2]Com'!D10</f>
        <v>IEC materials</v>
      </c>
      <c r="E56" s="352">
        <f>'[2]Com'!E10</f>
        <v>6720</v>
      </c>
      <c r="F56" s="364">
        <f>'[2]Com'!F10</f>
        <v>6720</v>
      </c>
      <c r="G56" s="364">
        <f>'[2]Com'!G10</f>
        <v>0</v>
      </c>
      <c r="H56" s="364">
        <f>'[2]Com'!H10</f>
        <v>0</v>
      </c>
      <c r="I56" s="364">
        <f>'[2]Com'!I10</f>
        <v>0</v>
      </c>
      <c r="J56" s="364">
        <f>'[2]Com'!J10</f>
        <v>0</v>
      </c>
      <c r="K56" s="364">
        <f>'[2]Com'!K10</f>
        <v>0</v>
      </c>
      <c r="L56" s="364">
        <f>'[2]Com'!L10</f>
        <v>0</v>
      </c>
      <c r="M56" s="364">
        <f>'[2]Com'!M10</f>
        <v>0</v>
      </c>
      <c r="N56" s="364">
        <f>'[2]Com'!N10</f>
        <v>0</v>
      </c>
      <c r="O56" s="364">
        <f>'[2]Com'!O10</f>
        <v>0</v>
      </c>
      <c r="P56" s="364">
        <f>'[2]Com'!P10</f>
        <v>0</v>
      </c>
      <c r="Q56" s="364">
        <f>'[2]Com'!Q10</f>
        <v>0</v>
      </c>
    </row>
    <row r="57" spans="1:17" ht="13.5">
      <c r="A57" s="331" t="s">
        <v>32</v>
      </c>
      <c r="B57" s="331" t="s">
        <v>853</v>
      </c>
      <c r="C57" s="362" t="str">
        <f>'[2]Com'!C11</f>
        <v>Zaire</v>
      </c>
      <c r="D57" s="363" t="str">
        <f>'[2]Com'!D11</f>
        <v>IEC materials</v>
      </c>
      <c r="E57" s="352">
        <f>'[2]Com'!E11</f>
        <v>0</v>
      </c>
      <c r="F57" s="364">
        <f>'[2]Com'!F11</f>
        <v>0</v>
      </c>
      <c r="G57" s="364">
        <f>'[2]Com'!G11</f>
        <v>0</v>
      </c>
      <c r="H57" s="364">
        <f>'[2]Com'!H11</f>
        <v>0</v>
      </c>
      <c r="I57" s="364">
        <f>'[2]Com'!I11</f>
        <v>0</v>
      </c>
      <c r="J57" s="364">
        <f>'[2]Com'!J11</f>
        <v>0</v>
      </c>
      <c r="K57" s="364">
        <f>'[2]Com'!K11</f>
        <v>0</v>
      </c>
      <c r="L57" s="364">
        <f>'[2]Com'!L11</f>
        <v>0</v>
      </c>
      <c r="M57" s="364">
        <f>'[2]Com'!M11</f>
        <v>0</v>
      </c>
      <c r="N57" s="364">
        <f>'[2]Com'!N11</f>
        <v>0</v>
      </c>
      <c r="O57" s="364">
        <f>'[2]Com'!O11</f>
        <v>0</v>
      </c>
      <c r="P57" s="364">
        <f>'[2]Com'!P11</f>
        <v>0</v>
      </c>
      <c r="Q57" s="364">
        <f>'[2]Com'!Q11</f>
        <v>0</v>
      </c>
    </row>
    <row r="58" spans="1:17" ht="13.5">
      <c r="A58" s="331" t="s">
        <v>57</v>
      </c>
      <c r="B58" s="331" t="s">
        <v>853</v>
      </c>
      <c r="C58" s="362" t="str">
        <f>'[2]Benef'!C4</f>
        <v>Huambo</v>
      </c>
      <c r="D58" s="363" t="str">
        <f>'[2]Benef'!D4</f>
        <v>Hygiene kits for schools</v>
      </c>
      <c r="E58" s="352">
        <f>'[2]Benef'!E4</f>
        <v>24075</v>
      </c>
      <c r="F58" s="364">
        <f>'[2]Benef'!F4</f>
        <v>0</v>
      </c>
      <c r="G58" s="364">
        <f>'[2]Benef'!G4</f>
        <v>0</v>
      </c>
      <c r="H58" s="364">
        <f>'[2]Benef'!H4</f>
        <v>2970</v>
      </c>
      <c r="I58" s="364">
        <f>'[2]Benef'!I4</f>
        <v>2295</v>
      </c>
      <c r="J58" s="364">
        <f>'[2]Benef'!J4</f>
        <v>2295</v>
      </c>
      <c r="K58" s="364">
        <f>'[2]Benef'!K4</f>
        <v>10800</v>
      </c>
      <c r="L58" s="364">
        <f>'[2]Benef'!L4</f>
        <v>3330</v>
      </c>
      <c r="M58" s="364">
        <f>'[2]Benef'!M4</f>
        <v>2385</v>
      </c>
      <c r="N58" s="364">
        <f>'[2]Benef'!N4</f>
        <v>0</v>
      </c>
      <c r="O58" s="364">
        <f>'[2]Benef'!O4</f>
        <v>0</v>
      </c>
      <c r="P58" s="364">
        <f>'[2]Benef'!P4</f>
        <v>0</v>
      </c>
      <c r="Q58" s="364">
        <f>'[2]Benef'!Q4</f>
        <v>0</v>
      </c>
    </row>
    <row r="59" spans="1:17" ht="13.5">
      <c r="A59" s="331" t="s">
        <v>57</v>
      </c>
      <c r="B59" s="331" t="s">
        <v>853</v>
      </c>
      <c r="C59" s="362" t="str">
        <f>'[2]Benef'!C5</f>
        <v>Uige</v>
      </c>
      <c r="D59" s="363" t="str">
        <f>'[2]Benef'!D5</f>
        <v>Hygiene kits for schools</v>
      </c>
      <c r="E59" s="352">
        <f>'[2]Benef'!E5</f>
        <v>22770</v>
      </c>
      <c r="F59" s="364">
        <f>'[2]Benef'!F5</f>
        <v>2655</v>
      </c>
      <c r="G59" s="364">
        <f>'[2]Benef'!G5</f>
        <v>4635</v>
      </c>
      <c r="H59" s="364">
        <f>'[2]Benef'!H5</f>
        <v>0</v>
      </c>
      <c r="I59" s="364">
        <f>'[2]Benef'!I5</f>
        <v>2025</v>
      </c>
      <c r="J59" s="364">
        <f>'[2]Benef'!J5</f>
        <v>2925</v>
      </c>
      <c r="K59" s="364">
        <f>'[2]Benef'!K5</f>
        <v>0</v>
      </c>
      <c r="L59" s="364">
        <f>'[2]Benef'!L5</f>
        <v>2205</v>
      </c>
      <c r="M59" s="364">
        <f>'[2]Benef'!M5</f>
        <v>5355</v>
      </c>
      <c r="N59" s="364">
        <f>'[2]Benef'!N5</f>
        <v>2970</v>
      </c>
      <c r="O59" s="364">
        <f>'[2]Benef'!O5</f>
        <v>0</v>
      </c>
      <c r="P59" s="364">
        <f>'[2]Benef'!P5</f>
        <v>0</v>
      </c>
      <c r="Q59" s="364">
        <f>'[2]Benef'!Q5</f>
        <v>0</v>
      </c>
    </row>
    <row r="60" spans="1:17" ht="13.5">
      <c r="A60" s="331" t="s">
        <v>57</v>
      </c>
      <c r="B60" s="331" t="s">
        <v>853</v>
      </c>
      <c r="C60" s="362" t="str">
        <f>'[2]Benef'!C6</f>
        <v>Zaire</v>
      </c>
      <c r="D60" s="363" t="str">
        <f>'[2]Benef'!D6</f>
        <v>Hygiene kits for schools</v>
      </c>
      <c r="E60" s="352">
        <f>'[2]Benef'!E6</f>
        <v>0</v>
      </c>
      <c r="F60" s="364">
        <f>'[2]Benef'!F6</f>
        <v>0</v>
      </c>
      <c r="G60" s="364">
        <f>'[2]Benef'!G6</f>
        <v>0</v>
      </c>
      <c r="H60" s="364">
        <f>'[2]Benef'!H6</f>
        <v>0</v>
      </c>
      <c r="I60" s="364">
        <f>'[2]Benef'!I6</f>
        <v>0</v>
      </c>
      <c r="J60" s="364">
        <f>'[2]Benef'!J6</f>
        <v>0</v>
      </c>
      <c r="K60" s="364">
        <f>'[2]Benef'!K6</f>
        <v>0</v>
      </c>
      <c r="L60" s="364">
        <f>'[2]Benef'!L6</f>
        <v>0</v>
      </c>
      <c r="M60" s="364">
        <f>'[2]Benef'!M6</f>
        <v>0</v>
      </c>
      <c r="N60" s="364">
        <f>'[2]Benef'!N6</f>
        <v>0</v>
      </c>
      <c r="O60" s="364">
        <f>'[2]Benef'!O6</f>
        <v>0</v>
      </c>
      <c r="P60" s="364">
        <f>'[2]Benef'!P6</f>
        <v>0</v>
      </c>
      <c r="Q60" s="364">
        <f>'[2]Benef'!Q6</f>
        <v>0</v>
      </c>
    </row>
    <row r="61" spans="1:17" ht="13.5">
      <c r="A61" s="331" t="s">
        <v>57</v>
      </c>
      <c r="B61" s="331" t="s">
        <v>854</v>
      </c>
      <c r="C61" s="362" t="str">
        <f>'[2]Benef'!C7</f>
        <v>Huambo</v>
      </c>
      <c r="D61" s="363" t="str">
        <f>'[2]Benef'!D7</f>
        <v>Food for PZQ distribution</v>
      </c>
      <c r="E61" s="352">
        <f>'[2]Benef'!E7</f>
        <v>16625</v>
      </c>
      <c r="F61" s="364">
        <f>'[2]Benef'!F7</f>
        <v>0</v>
      </c>
      <c r="G61" s="364">
        <f>'[2]Benef'!G7</f>
        <v>16625</v>
      </c>
      <c r="H61" s="364">
        <f>'[2]Benef'!H7</f>
        <v>0</v>
      </c>
      <c r="I61" s="364">
        <f>'[2]Benef'!I7</f>
        <v>0</v>
      </c>
      <c r="J61" s="364">
        <f>'[2]Benef'!J7</f>
        <v>0</v>
      </c>
      <c r="K61" s="364">
        <f>'[2]Benef'!K7</f>
        <v>0</v>
      </c>
      <c r="L61" s="364">
        <f>'[2]Benef'!L7</f>
        <v>0</v>
      </c>
      <c r="M61" s="364">
        <f>'[2]Benef'!M7</f>
        <v>0</v>
      </c>
      <c r="N61" s="364">
        <f>'[2]Benef'!N7</f>
        <v>0</v>
      </c>
      <c r="O61" s="364">
        <f>'[2]Benef'!O7</f>
        <v>0</v>
      </c>
      <c r="P61" s="364">
        <f>'[2]Benef'!P7</f>
        <v>0</v>
      </c>
      <c r="Q61" s="364">
        <f>'[2]Benef'!Q7</f>
        <v>0</v>
      </c>
    </row>
    <row r="62" spans="1:17" ht="13.5">
      <c r="A62" s="331" t="s">
        <v>57</v>
      </c>
      <c r="B62" s="331" t="s">
        <v>854</v>
      </c>
      <c r="C62" s="362" t="str">
        <f>'[2]Benef'!C8</f>
        <v>Uige</v>
      </c>
      <c r="D62" s="363" t="str">
        <f>'[2]Benef'!D8</f>
        <v>Food for PZQ distribution</v>
      </c>
      <c r="E62" s="352">
        <f>'[2]Benef'!E8</f>
        <v>6600</v>
      </c>
      <c r="F62" s="364">
        <f>'[2]Benef'!F8</f>
        <v>0</v>
      </c>
      <c r="G62" s="364">
        <f>'[2]Benef'!G8</f>
        <v>0</v>
      </c>
      <c r="H62" s="364">
        <f>'[2]Benef'!H8</f>
        <v>0</v>
      </c>
      <c r="I62" s="364">
        <f>'[2]Benef'!I8</f>
        <v>0</v>
      </c>
      <c r="J62" s="364">
        <f>'[2]Benef'!J8</f>
        <v>0</v>
      </c>
      <c r="K62" s="364">
        <f>'[2]Benef'!K8</f>
        <v>6600</v>
      </c>
      <c r="L62" s="364">
        <f>'[2]Benef'!L8</f>
        <v>0</v>
      </c>
      <c r="M62" s="364">
        <f>'[2]Benef'!M8</f>
        <v>0</v>
      </c>
      <c r="N62" s="364">
        <f>'[2]Benef'!N8</f>
        <v>0</v>
      </c>
      <c r="O62" s="364">
        <f>'[2]Benef'!O8</f>
        <v>0</v>
      </c>
      <c r="P62" s="364">
        <f>'[2]Benef'!P8</f>
        <v>0</v>
      </c>
      <c r="Q62" s="364">
        <f>'[2]Benef'!Q8</f>
        <v>0</v>
      </c>
    </row>
    <row r="63" spans="1:17" ht="13.5">
      <c r="A63" s="331" t="s">
        <v>57</v>
      </c>
      <c r="B63" s="331" t="s">
        <v>854</v>
      </c>
      <c r="C63" s="362" t="str">
        <f>'[2]Benef'!C9</f>
        <v>Zaire</v>
      </c>
      <c r="D63" s="363" t="str">
        <f>'[2]Benef'!D9</f>
        <v>Food for PZQ distribution</v>
      </c>
      <c r="E63" s="352">
        <f>'[2]Benef'!E9</f>
        <v>2275</v>
      </c>
      <c r="F63" s="364">
        <f>'[2]Benef'!F9</f>
        <v>0</v>
      </c>
      <c r="G63" s="364">
        <f>'[2]Benef'!G9</f>
        <v>0</v>
      </c>
      <c r="H63" s="364">
        <f>'[2]Benef'!H9</f>
        <v>0</v>
      </c>
      <c r="I63" s="364">
        <f>'[2]Benef'!I9</f>
        <v>2275</v>
      </c>
      <c r="J63" s="364">
        <f>'[2]Benef'!J9</f>
        <v>0</v>
      </c>
      <c r="K63" s="364">
        <f>'[2]Benef'!K9</f>
        <v>0</v>
      </c>
      <c r="L63" s="364">
        <f>'[2]Benef'!L9</f>
        <v>0</v>
      </c>
      <c r="M63" s="364">
        <f>'[2]Benef'!M9</f>
        <v>0</v>
      </c>
      <c r="N63" s="364">
        <f>'[2]Benef'!N9</f>
        <v>0</v>
      </c>
      <c r="O63" s="364">
        <f>'[2]Benef'!O9</f>
        <v>0</v>
      </c>
      <c r="P63" s="364">
        <f>'[2]Benef'!P9</f>
        <v>0</v>
      </c>
      <c r="Q63" s="364">
        <f>'[2]Benef'!Q9</f>
        <v>0</v>
      </c>
    </row>
    <row r="64" spans="1:17" ht="13.5">
      <c r="A64" s="331" t="s">
        <v>57</v>
      </c>
      <c r="B64" s="331" t="s">
        <v>854</v>
      </c>
      <c r="C64" s="362" t="str">
        <f>'[2]Benef'!C10</f>
        <v>Bie</v>
      </c>
      <c r="D64" s="363" t="str">
        <f>'[2]Benef'!D10</f>
        <v>Food for PZQ distribution</v>
      </c>
      <c r="E64" s="352">
        <f>'[2]Benef'!E10</f>
        <v>20000</v>
      </c>
      <c r="F64" s="364">
        <f>'[2]Benef'!F10</f>
        <v>0</v>
      </c>
      <c r="G64" s="364">
        <f>'[2]Benef'!G10</f>
        <v>0</v>
      </c>
      <c r="H64" s="364">
        <f>'[2]Benef'!H10</f>
        <v>0</v>
      </c>
      <c r="I64" s="364">
        <f>'[2]Benef'!I10</f>
        <v>0</v>
      </c>
      <c r="J64" s="364">
        <f>'[2]Benef'!J10</f>
        <v>20000</v>
      </c>
      <c r="K64" s="364">
        <f>'[2]Benef'!K10</f>
        <v>0</v>
      </c>
      <c r="L64" s="364">
        <f>'[2]Benef'!L10</f>
        <v>0</v>
      </c>
      <c r="M64" s="364">
        <f>'[2]Benef'!M10</f>
        <v>0</v>
      </c>
      <c r="N64" s="364">
        <f>'[2]Benef'!N10</f>
        <v>0</v>
      </c>
      <c r="O64" s="364">
        <f>'[2]Benef'!O10</f>
        <v>0</v>
      </c>
      <c r="P64" s="364">
        <f>'[2]Benef'!P10</f>
        <v>0</v>
      </c>
      <c r="Q64" s="364">
        <f>'[2]Benef'!Q10</f>
        <v>0</v>
      </c>
    </row>
    <row r="65" spans="1:17" ht="13.5">
      <c r="A65" s="331" t="s">
        <v>31</v>
      </c>
      <c r="B65" s="331" t="s">
        <v>59</v>
      </c>
      <c r="C65" s="362" t="str">
        <f>'[2]I&amp;E'!C4</f>
        <v>Central</v>
      </c>
      <c r="D65" s="365" t="str">
        <f>'[2]I&amp;E'!D4</f>
        <v>Office &amp; accom furnishings </v>
      </c>
      <c r="E65" s="352">
        <f>'[2]I&amp;E'!E4</f>
        <v>1000</v>
      </c>
      <c r="F65" s="364">
        <f>'[2]I&amp;E'!F4</f>
        <v>1000</v>
      </c>
      <c r="G65" s="364">
        <f>'[2]I&amp;E'!G4</f>
        <v>0</v>
      </c>
      <c r="H65" s="364">
        <f>'[2]I&amp;E'!H4</f>
        <v>0</v>
      </c>
      <c r="I65" s="364">
        <f>'[2]I&amp;E'!I4</f>
        <v>0</v>
      </c>
      <c r="J65" s="364">
        <f>'[2]I&amp;E'!J4</f>
        <v>0</v>
      </c>
      <c r="K65" s="364">
        <f>'[2]I&amp;E'!K4</f>
        <v>0</v>
      </c>
      <c r="L65" s="364">
        <f>'[2]I&amp;E'!L4</f>
        <v>0</v>
      </c>
      <c r="M65" s="364">
        <f>'[2]I&amp;E'!M4</f>
        <v>0</v>
      </c>
      <c r="N65" s="364">
        <f>'[2]I&amp;E'!N4</f>
        <v>0</v>
      </c>
      <c r="O65" s="364">
        <f>'[2]I&amp;E'!O4</f>
        <v>0</v>
      </c>
      <c r="P65" s="364">
        <f>'[2]I&amp;E'!P4</f>
        <v>0</v>
      </c>
      <c r="Q65" s="364">
        <f>'[2]I&amp;E'!Q4</f>
        <v>0</v>
      </c>
    </row>
    <row r="66" spans="1:17" ht="13.5">
      <c r="A66" s="331" t="s">
        <v>31</v>
      </c>
      <c r="B66" s="331" t="s">
        <v>59</v>
      </c>
      <c r="C66" s="362" t="str">
        <f>'[2]I&amp;E'!C17</f>
        <v>Luanda</v>
      </c>
      <c r="D66" s="365" t="str">
        <f>'[2]I&amp;E'!D17</f>
        <v>Office &amp; accom furnishings </v>
      </c>
      <c r="E66" s="352">
        <f>'[2]I&amp;E'!E17</f>
        <v>1000</v>
      </c>
      <c r="F66" s="364">
        <f>'[2]I&amp;E'!F17</f>
        <v>1000</v>
      </c>
      <c r="G66" s="364">
        <f>'[2]I&amp;E'!G17</f>
        <v>0</v>
      </c>
      <c r="H66" s="364">
        <f>'[2]I&amp;E'!H17</f>
        <v>0</v>
      </c>
      <c r="I66" s="364">
        <f>'[2]I&amp;E'!I17</f>
        <v>0</v>
      </c>
      <c r="J66" s="364">
        <f>'[2]I&amp;E'!J17</f>
        <v>0</v>
      </c>
      <c r="K66" s="364">
        <f>'[2]I&amp;E'!K17</f>
        <v>0</v>
      </c>
      <c r="L66" s="364">
        <f>'[2]I&amp;E'!L17</f>
        <v>0</v>
      </c>
      <c r="M66" s="364">
        <f>'[2]I&amp;E'!M17</f>
        <v>0</v>
      </c>
      <c r="N66" s="364">
        <f>'[2]I&amp;E'!N17</f>
        <v>0</v>
      </c>
      <c r="O66" s="364">
        <f>'[2]I&amp;E'!O17</f>
        <v>0</v>
      </c>
      <c r="P66" s="364">
        <f>'[2]I&amp;E'!P17</f>
        <v>0</v>
      </c>
      <c r="Q66" s="364">
        <f>'[2]I&amp;E'!Q17</f>
        <v>0</v>
      </c>
    </row>
    <row r="67" spans="1:17" ht="13.5">
      <c r="A67" s="331" t="s">
        <v>31</v>
      </c>
      <c r="B67" s="331" t="s">
        <v>59</v>
      </c>
      <c r="C67" s="362" t="str">
        <f>'[2]I&amp;E'!C30</f>
        <v>Uige</v>
      </c>
      <c r="D67" s="365" t="str">
        <f>'[2]I&amp;E'!D30</f>
        <v>Office &amp; accom furnishings </v>
      </c>
      <c r="E67" s="352">
        <f>'[2]I&amp;E'!E30</f>
        <v>1000</v>
      </c>
      <c r="F67" s="364">
        <f>'[2]I&amp;E'!F30</f>
        <v>1000</v>
      </c>
      <c r="G67" s="364">
        <f>'[2]I&amp;E'!G30</f>
        <v>0</v>
      </c>
      <c r="H67" s="364">
        <f>'[2]I&amp;E'!H30</f>
        <v>0</v>
      </c>
      <c r="I67" s="364">
        <f>'[2]I&amp;E'!I30</f>
        <v>0</v>
      </c>
      <c r="J67" s="364">
        <f>'[2]I&amp;E'!J30</f>
        <v>0</v>
      </c>
      <c r="K67" s="364">
        <f>'[2]I&amp;E'!K30</f>
        <v>0</v>
      </c>
      <c r="L67" s="364">
        <f>'[2]I&amp;E'!L30</f>
        <v>0</v>
      </c>
      <c r="M67" s="364">
        <f>'[2]I&amp;E'!M30</f>
        <v>0</v>
      </c>
      <c r="N67" s="364">
        <f>'[2]I&amp;E'!N30</f>
        <v>0</v>
      </c>
      <c r="O67" s="364">
        <f>'[2]I&amp;E'!O30</f>
        <v>0</v>
      </c>
      <c r="P67" s="364">
        <f>'[2]I&amp;E'!P30</f>
        <v>0</v>
      </c>
      <c r="Q67" s="364">
        <f>'[2]I&amp;E'!Q30</f>
        <v>0</v>
      </c>
    </row>
    <row r="68" spans="1:17" ht="13.5">
      <c r="A68" s="331" t="s">
        <v>31</v>
      </c>
      <c r="B68" s="331" t="s">
        <v>59</v>
      </c>
      <c r="C68" s="362" t="str">
        <f>'[2]I&amp;E'!C41</f>
        <v>Zaire</v>
      </c>
      <c r="D68" s="365" t="str">
        <f>'[2]I&amp;E'!D41</f>
        <v>Office &amp; accom furnishings </v>
      </c>
      <c r="E68" s="352">
        <f>'[2]I&amp;E'!E41</f>
        <v>500</v>
      </c>
      <c r="F68" s="364">
        <f>'[2]I&amp;E'!F41</f>
        <v>0</v>
      </c>
      <c r="G68" s="364">
        <f>'[2]I&amp;E'!G41</f>
        <v>0</v>
      </c>
      <c r="H68" s="364">
        <f>'[2]I&amp;E'!H41</f>
        <v>0</v>
      </c>
      <c r="I68" s="364">
        <f>'[2]I&amp;E'!I41</f>
        <v>500</v>
      </c>
      <c r="J68" s="364">
        <f>'[2]I&amp;E'!J41</f>
        <v>0</v>
      </c>
      <c r="K68" s="364">
        <f>'[2]I&amp;E'!K41</f>
        <v>0</v>
      </c>
      <c r="L68" s="364">
        <f>'[2]I&amp;E'!L41</f>
        <v>0</v>
      </c>
      <c r="M68" s="364">
        <f>'[2]I&amp;E'!M41</f>
        <v>0</v>
      </c>
      <c r="N68" s="364">
        <f>'[2]I&amp;E'!N41</f>
        <v>0</v>
      </c>
      <c r="O68" s="364">
        <f>'[2]I&amp;E'!O41</f>
        <v>0</v>
      </c>
      <c r="P68" s="364">
        <f>'[2]I&amp;E'!P41</f>
        <v>0</v>
      </c>
      <c r="Q68" s="364">
        <f>'[2]I&amp;E'!Q41</f>
        <v>0</v>
      </c>
    </row>
    <row r="69" spans="1:17" ht="13.5">
      <c r="A69" s="331" t="s">
        <v>31</v>
      </c>
      <c r="B69" s="331" t="s">
        <v>59</v>
      </c>
      <c r="C69" s="362" t="str">
        <f>'[2]I&amp;E'!C49</f>
        <v>Bie</v>
      </c>
      <c r="D69" s="365" t="str">
        <f>'[2]I&amp;E'!D49</f>
        <v>Office &amp; accom furnishings </v>
      </c>
      <c r="E69" s="352">
        <f>'[2]I&amp;E'!E49</f>
        <v>500</v>
      </c>
      <c r="F69" s="364">
        <f>'[2]I&amp;E'!F49</f>
        <v>500</v>
      </c>
      <c r="G69" s="364">
        <f>'[2]I&amp;E'!G49</f>
        <v>0</v>
      </c>
      <c r="H69" s="364">
        <f>'[2]I&amp;E'!H49</f>
        <v>0</v>
      </c>
      <c r="I69" s="364">
        <f>'[2]I&amp;E'!I49</f>
        <v>0</v>
      </c>
      <c r="J69" s="364">
        <f>'[2]I&amp;E'!J49</f>
        <v>0</v>
      </c>
      <c r="K69" s="364">
        <f>'[2]I&amp;E'!K49</f>
        <v>0</v>
      </c>
      <c r="L69" s="364">
        <f>'[2]I&amp;E'!L49</f>
        <v>0</v>
      </c>
      <c r="M69" s="364">
        <f>'[2]I&amp;E'!M49</f>
        <v>0</v>
      </c>
      <c r="N69" s="364">
        <f>'[2]I&amp;E'!N49</f>
        <v>0</v>
      </c>
      <c r="O69" s="364">
        <f>'[2]I&amp;E'!O49</f>
        <v>0</v>
      </c>
      <c r="P69" s="364">
        <f>'[2]I&amp;E'!P49</f>
        <v>0</v>
      </c>
      <c r="Q69" s="364">
        <f>'[2]I&amp;E'!Q49</f>
        <v>0</v>
      </c>
    </row>
    <row r="70" spans="1:17" ht="13.5">
      <c r="A70" s="331" t="s">
        <v>31</v>
      </c>
      <c r="B70" s="331" t="s">
        <v>59</v>
      </c>
      <c r="C70" s="362" t="str">
        <f>'[2]I&amp;E'!C64</f>
        <v>Central</v>
      </c>
      <c r="D70" s="365" t="str">
        <f>'[2]I&amp;E'!D64</f>
        <v>IT &amp; Comm equipment (all bases)</v>
      </c>
      <c r="E70" s="352">
        <f>'[2]I&amp;E'!E64</f>
        <v>2500</v>
      </c>
      <c r="F70" s="364">
        <f>'[2]I&amp;E'!F64</f>
        <v>2500</v>
      </c>
      <c r="G70" s="364">
        <f>'[2]I&amp;E'!G64</f>
        <v>0</v>
      </c>
      <c r="H70" s="364">
        <f>'[2]I&amp;E'!H64</f>
        <v>0</v>
      </c>
      <c r="I70" s="364">
        <f>'[2]I&amp;E'!I64</f>
        <v>0</v>
      </c>
      <c r="J70" s="364">
        <f>'[2]I&amp;E'!J64</f>
        <v>0</v>
      </c>
      <c r="K70" s="364">
        <f>'[2]I&amp;E'!K64</f>
        <v>0</v>
      </c>
      <c r="L70" s="364">
        <f>'[2]I&amp;E'!L64</f>
        <v>0</v>
      </c>
      <c r="M70" s="364">
        <f>'[2]I&amp;E'!M64</f>
        <v>0</v>
      </c>
      <c r="N70" s="364">
        <f>'[2]I&amp;E'!N64</f>
        <v>0</v>
      </c>
      <c r="O70" s="364">
        <f>'[2]I&amp;E'!O64</f>
        <v>0</v>
      </c>
      <c r="P70" s="364">
        <f>'[2]I&amp;E'!P64</f>
        <v>0</v>
      </c>
      <c r="Q70" s="364">
        <f>'[2]I&amp;E'!Q64</f>
        <v>0</v>
      </c>
    </row>
    <row r="71" spans="1:17" ht="13.5">
      <c r="A71" s="331" t="s">
        <v>31</v>
      </c>
      <c r="B71" s="331" t="s">
        <v>59</v>
      </c>
      <c r="C71" s="362" t="str">
        <f>'[2]I&amp;E'!C86</f>
        <v>Central</v>
      </c>
      <c r="D71" s="365" t="str">
        <f>'[2]I&amp;E'!D86</f>
        <v>Vehicle Insurance and taxes (all)</v>
      </c>
      <c r="E71" s="352">
        <f>'[2]I&amp;E'!E86</f>
        <v>34100</v>
      </c>
      <c r="F71" s="364">
        <f>'[2]I&amp;E'!F86</f>
        <v>0</v>
      </c>
      <c r="G71" s="364">
        <f>'[2]I&amp;E'!G86</f>
        <v>0</v>
      </c>
      <c r="H71" s="364">
        <f>'[2]I&amp;E'!H86</f>
        <v>0</v>
      </c>
      <c r="I71" s="364">
        <f>'[2]I&amp;E'!I86</f>
        <v>0</v>
      </c>
      <c r="J71" s="364">
        <f>'[2]I&amp;E'!J86</f>
        <v>17900</v>
      </c>
      <c r="K71" s="364">
        <f>'[2]I&amp;E'!K86</f>
        <v>16200</v>
      </c>
      <c r="L71" s="364">
        <f>'[2]I&amp;E'!L86</f>
        <v>0</v>
      </c>
      <c r="M71" s="364">
        <f>'[2]I&amp;E'!M86</f>
        <v>0</v>
      </c>
      <c r="N71" s="364">
        <f>'[2]I&amp;E'!N86</f>
        <v>0</v>
      </c>
      <c r="O71" s="364">
        <f>'[2]I&amp;E'!O86</f>
        <v>0</v>
      </c>
      <c r="P71" s="364">
        <f>'[2]I&amp;E'!P86</f>
        <v>0</v>
      </c>
      <c r="Q71" s="364">
        <f>'[2]I&amp;E'!Q86</f>
        <v>0</v>
      </c>
    </row>
    <row r="72" spans="1:17" ht="13.5">
      <c r="A72" s="331" t="s">
        <v>31</v>
      </c>
      <c r="B72" s="331" t="s">
        <v>59</v>
      </c>
      <c r="C72" s="362" t="str">
        <f>'[2]I&amp;E'!C92</f>
        <v>Central</v>
      </c>
      <c r="D72" s="365" t="str">
        <f>'[2]I&amp;E'!D92</f>
        <v>Vehicle running (Maint, repair, fuel)</v>
      </c>
      <c r="E72" s="352">
        <f>'[2]I&amp;E'!E92</f>
        <v>20350</v>
      </c>
      <c r="F72" s="364">
        <f>'[2]I&amp;E'!F92</f>
        <v>1650</v>
      </c>
      <c r="G72" s="364">
        <f>'[2]I&amp;E'!G92</f>
        <v>1650</v>
      </c>
      <c r="H72" s="364">
        <f>'[2]I&amp;E'!H92</f>
        <v>1650</v>
      </c>
      <c r="I72" s="364">
        <f>'[2]I&amp;E'!I92</f>
        <v>1650</v>
      </c>
      <c r="J72" s="364">
        <f>'[2]I&amp;E'!J92</f>
        <v>1650</v>
      </c>
      <c r="K72" s="364">
        <f>'[2]I&amp;E'!K92</f>
        <v>1650</v>
      </c>
      <c r="L72" s="364">
        <f>'[2]I&amp;E'!L92</f>
        <v>1650</v>
      </c>
      <c r="M72" s="364">
        <f>'[2]I&amp;E'!M92</f>
        <v>1650</v>
      </c>
      <c r="N72" s="364">
        <f>'[2]I&amp;E'!N92</f>
        <v>1650</v>
      </c>
      <c r="O72" s="364">
        <f>'[2]I&amp;E'!O92</f>
        <v>1650</v>
      </c>
      <c r="P72" s="364">
        <f>'[2]I&amp;E'!P92</f>
        <v>1650</v>
      </c>
      <c r="Q72" s="364">
        <f>'[2]I&amp;E'!Q92</f>
        <v>2200</v>
      </c>
    </row>
    <row r="73" spans="1:17" ht="13.5">
      <c r="A73" s="331" t="s">
        <v>31</v>
      </c>
      <c r="B73" s="331" t="s">
        <v>59</v>
      </c>
      <c r="C73" s="362" t="str">
        <f>'[2]I&amp;E'!C97</f>
        <v>Luanda</v>
      </c>
      <c r="D73" s="365" t="str">
        <f>'[2]I&amp;E'!D97</f>
        <v>Vehicle running (Maint, repair, fuel)</v>
      </c>
      <c r="E73" s="352">
        <f>'[2]I&amp;E'!E97</f>
        <v>3600</v>
      </c>
      <c r="F73" s="364">
        <f>'[2]I&amp;E'!F97</f>
        <v>300</v>
      </c>
      <c r="G73" s="364">
        <f>'[2]I&amp;E'!G97</f>
        <v>300</v>
      </c>
      <c r="H73" s="364">
        <f>'[2]I&amp;E'!H97</f>
        <v>300</v>
      </c>
      <c r="I73" s="364">
        <f>'[2]I&amp;E'!I97</f>
        <v>300</v>
      </c>
      <c r="J73" s="364">
        <f>'[2]I&amp;E'!J97</f>
        <v>300</v>
      </c>
      <c r="K73" s="364">
        <f>'[2]I&amp;E'!K97</f>
        <v>300</v>
      </c>
      <c r="L73" s="364">
        <f>'[2]I&amp;E'!L97</f>
        <v>300</v>
      </c>
      <c r="M73" s="364">
        <f>'[2]I&amp;E'!M97</f>
        <v>300</v>
      </c>
      <c r="N73" s="364">
        <f>'[2]I&amp;E'!N97</f>
        <v>300</v>
      </c>
      <c r="O73" s="364">
        <f>'[2]I&amp;E'!O97</f>
        <v>300</v>
      </c>
      <c r="P73" s="364">
        <f>'[2]I&amp;E'!P97</f>
        <v>300</v>
      </c>
      <c r="Q73" s="364">
        <f>'[2]I&amp;E'!Q97</f>
        <v>300</v>
      </c>
    </row>
    <row r="74" spans="1:17" ht="13.5">
      <c r="A74" s="331" t="s">
        <v>31</v>
      </c>
      <c r="B74" s="331" t="s">
        <v>59</v>
      </c>
      <c r="C74" s="362" t="str">
        <f>'[2]I&amp;E'!C102</f>
        <v>Uige</v>
      </c>
      <c r="D74" s="365" t="str">
        <f>'[2]I&amp;E'!D102</f>
        <v>Vehicle running (Maint, repair, fuel)</v>
      </c>
      <c r="E74" s="352">
        <f>'[2]I&amp;E'!E102</f>
        <v>19800</v>
      </c>
      <c r="F74" s="364">
        <f>'[2]I&amp;E'!F102</f>
        <v>1650</v>
      </c>
      <c r="G74" s="364">
        <f>'[2]I&amp;E'!G102</f>
        <v>1650</v>
      </c>
      <c r="H74" s="364">
        <f>'[2]I&amp;E'!H102</f>
        <v>1650</v>
      </c>
      <c r="I74" s="364">
        <f>'[2]I&amp;E'!I102</f>
        <v>1650</v>
      </c>
      <c r="J74" s="364">
        <f>'[2]I&amp;E'!J102</f>
        <v>1650</v>
      </c>
      <c r="K74" s="364">
        <f>'[2]I&amp;E'!K102</f>
        <v>1650</v>
      </c>
      <c r="L74" s="364">
        <f>'[2]I&amp;E'!L102</f>
        <v>1650</v>
      </c>
      <c r="M74" s="364">
        <f>'[2]I&amp;E'!M102</f>
        <v>1650</v>
      </c>
      <c r="N74" s="364">
        <f>'[2]I&amp;E'!N102</f>
        <v>1650</v>
      </c>
      <c r="O74" s="364">
        <f>'[2]I&amp;E'!O102</f>
        <v>1650</v>
      </c>
      <c r="P74" s="364">
        <f>'[2]I&amp;E'!P102</f>
        <v>1650</v>
      </c>
      <c r="Q74" s="364">
        <f>'[2]I&amp;E'!Q102</f>
        <v>1650</v>
      </c>
    </row>
    <row r="75" spans="1:17" ht="13.5">
      <c r="A75" s="331" t="s">
        <v>31</v>
      </c>
      <c r="B75" s="331" t="s">
        <v>59</v>
      </c>
      <c r="C75" s="362" t="str">
        <f>'[2]I&amp;E'!C107</f>
        <v>Zaire</v>
      </c>
      <c r="D75" s="365" t="str">
        <f>'[2]I&amp;E'!D107</f>
        <v>Vehicle running (Maint, repair, fuel)</v>
      </c>
      <c r="E75" s="352">
        <f>'[2]I&amp;E'!E107</f>
        <v>6600</v>
      </c>
      <c r="F75" s="364">
        <f>'[2]I&amp;E'!F107</f>
        <v>550</v>
      </c>
      <c r="G75" s="364">
        <f>'[2]I&amp;E'!G107</f>
        <v>550</v>
      </c>
      <c r="H75" s="364">
        <f>'[2]I&amp;E'!H107</f>
        <v>550</v>
      </c>
      <c r="I75" s="364">
        <f>'[2]I&amp;E'!I107</f>
        <v>550</v>
      </c>
      <c r="J75" s="364">
        <f>'[2]I&amp;E'!J107</f>
        <v>550</v>
      </c>
      <c r="K75" s="364">
        <f>'[2]I&amp;E'!K107</f>
        <v>550</v>
      </c>
      <c r="L75" s="364">
        <f>'[2]I&amp;E'!L107</f>
        <v>550</v>
      </c>
      <c r="M75" s="364">
        <f>'[2]I&amp;E'!M107</f>
        <v>550</v>
      </c>
      <c r="N75" s="364">
        <f>'[2]I&amp;E'!N107</f>
        <v>550</v>
      </c>
      <c r="O75" s="364">
        <f>'[2]I&amp;E'!O107</f>
        <v>550</v>
      </c>
      <c r="P75" s="364">
        <f>'[2]I&amp;E'!P107</f>
        <v>550</v>
      </c>
      <c r="Q75" s="364">
        <f>'[2]I&amp;E'!Q107</f>
        <v>550</v>
      </c>
    </row>
    <row r="76" spans="1:17" ht="13.5">
      <c r="A76" s="331" t="s">
        <v>31</v>
      </c>
      <c r="B76" s="331" t="s">
        <v>59</v>
      </c>
      <c r="C76" s="362" t="str">
        <f>'[2]I&amp;E'!C112</f>
        <v>Bie</v>
      </c>
      <c r="D76" s="365" t="str">
        <f>'[2]I&amp;E'!D112</f>
        <v>Vehicle running (Maint, repair, fuel)</v>
      </c>
      <c r="E76" s="352">
        <f>'[2]I&amp;E'!E112</f>
        <v>6600</v>
      </c>
      <c r="F76" s="364">
        <f>'[2]I&amp;E'!F112</f>
        <v>550</v>
      </c>
      <c r="G76" s="364">
        <f>'[2]I&amp;E'!G112</f>
        <v>550</v>
      </c>
      <c r="H76" s="364">
        <f>'[2]I&amp;E'!H112</f>
        <v>550</v>
      </c>
      <c r="I76" s="364">
        <f>'[2]I&amp;E'!I112</f>
        <v>550</v>
      </c>
      <c r="J76" s="364">
        <f>'[2]I&amp;E'!J112</f>
        <v>550</v>
      </c>
      <c r="K76" s="364">
        <f>'[2]I&amp;E'!K112</f>
        <v>550</v>
      </c>
      <c r="L76" s="364">
        <f>'[2]I&amp;E'!L112</f>
        <v>550</v>
      </c>
      <c r="M76" s="364">
        <f>'[2]I&amp;E'!M112</f>
        <v>550</v>
      </c>
      <c r="N76" s="364">
        <f>'[2]I&amp;E'!N112</f>
        <v>550</v>
      </c>
      <c r="O76" s="364">
        <f>'[2]I&amp;E'!O112</f>
        <v>550</v>
      </c>
      <c r="P76" s="364">
        <f>'[2]I&amp;E'!P112</f>
        <v>550</v>
      </c>
      <c r="Q76" s="364">
        <f>'[2]I&amp;E'!Q112</f>
        <v>550</v>
      </c>
    </row>
    <row r="77" spans="1:17" ht="13.5">
      <c r="A77" s="331" t="s">
        <v>31</v>
      </c>
      <c r="B77" s="331" t="s">
        <v>59</v>
      </c>
      <c r="C77" s="362" t="str">
        <f>'[2]I&amp;E'!C118</f>
        <v>Central</v>
      </c>
      <c r="D77" s="365" t="str">
        <f>'[2]I&amp;E'!D118</f>
        <v>Generator running (Maint, repair, fuel)</v>
      </c>
      <c r="E77" s="352">
        <f>'[2]I&amp;E'!E118</f>
        <v>2325</v>
      </c>
      <c r="F77" s="364">
        <f>'[2]I&amp;E'!F118</f>
        <v>150</v>
      </c>
      <c r="G77" s="364">
        <f>'[2]I&amp;E'!G118</f>
        <v>150</v>
      </c>
      <c r="H77" s="364">
        <f>'[2]I&amp;E'!H118</f>
        <v>150</v>
      </c>
      <c r="I77" s="364">
        <f>'[2]I&amp;E'!I118</f>
        <v>150</v>
      </c>
      <c r="J77" s="364">
        <f>'[2]I&amp;E'!J118</f>
        <v>150</v>
      </c>
      <c r="K77" s="364">
        <f>'[2]I&amp;E'!K118</f>
        <v>225</v>
      </c>
      <c r="L77" s="364">
        <f>'[2]I&amp;E'!L118</f>
        <v>225</v>
      </c>
      <c r="M77" s="364">
        <f>'[2]I&amp;E'!M118</f>
        <v>225</v>
      </c>
      <c r="N77" s="364">
        <f>'[2]I&amp;E'!N118</f>
        <v>225</v>
      </c>
      <c r="O77" s="364">
        <f>'[2]I&amp;E'!O118</f>
        <v>225</v>
      </c>
      <c r="P77" s="364">
        <f>'[2]I&amp;E'!P118</f>
        <v>225</v>
      </c>
      <c r="Q77" s="364">
        <f>'[2]I&amp;E'!Q118</f>
        <v>225</v>
      </c>
    </row>
    <row r="78" spans="1:17" ht="13.5">
      <c r="A78" s="331" t="s">
        <v>31</v>
      </c>
      <c r="B78" s="331" t="s">
        <v>59</v>
      </c>
      <c r="C78" s="362" t="str">
        <f>'[2]I&amp;E'!C123</f>
        <v>Luanda</v>
      </c>
      <c r="D78" s="365" t="str">
        <f>'[2]I&amp;E'!D123</f>
        <v>Generator running (Maint, repair, fuel)</v>
      </c>
      <c r="E78" s="352">
        <f>'[2]I&amp;E'!E123</f>
        <v>1200</v>
      </c>
      <c r="F78" s="364">
        <f>'[2]I&amp;E'!F123</f>
        <v>100</v>
      </c>
      <c r="G78" s="364">
        <f>'[2]I&amp;E'!G123</f>
        <v>100</v>
      </c>
      <c r="H78" s="364">
        <f>'[2]I&amp;E'!H123</f>
        <v>100</v>
      </c>
      <c r="I78" s="364">
        <f>'[2]I&amp;E'!I123</f>
        <v>100</v>
      </c>
      <c r="J78" s="364">
        <f>'[2]I&amp;E'!J123</f>
        <v>100</v>
      </c>
      <c r="K78" s="364">
        <f>'[2]I&amp;E'!K123</f>
        <v>100</v>
      </c>
      <c r="L78" s="364">
        <f>'[2]I&amp;E'!L123</f>
        <v>100</v>
      </c>
      <c r="M78" s="364">
        <f>'[2]I&amp;E'!M123</f>
        <v>100</v>
      </c>
      <c r="N78" s="364">
        <f>'[2]I&amp;E'!N123</f>
        <v>100</v>
      </c>
      <c r="O78" s="364">
        <f>'[2]I&amp;E'!O123</f>
        <v>100</v>
      </c>
      <c r="P78" s="364">
        <f>'[2]I&amp;E'!P123</f>
        <v>100</v>
      </c>
      <c r="Q78" s="364">
        <f>'[2]I&amp;E'!Q123</f>
        <v>100</v>
      </c>
    </row>
    <row r="79" spans="1:17" ht="13.5">
      <c r="A79" s="331" t="s">
        <v>31</v>
      </c>
      <c r="B79" s="331" t="s">
        <v>59</v>
      </c>
      <c r="C79" s="362" t="str">
        <f>'[2]I&amp;E'!C128</f>
        <v>Uige</v>
      </c>
      <c r="D79" s="365" t="str">
        <f>'[2]I&amp;E'!D128</f>
        <v>Generator running (Maint, repair, fuel)</v>
      </c>
      <c r="E79" s="352">
        <f>'[2]I&amp;E'!E128</f>
        <v>1200</v>
      </c>
      <c r="F79" s="364">
        <f>'[2]I&amp;E'!F128</f>
        <v>100</v>
      </c>
      <c r="G79" s="364">
        <f>'[2]I&amp;E'!G128</f>
        <v>100</v>
      </c>
      <c r="H79" s="364">
        <f>'[2]I&amp;E'!H128</f>
        <v>100</v>
      </c>
      <c r="I79" s="364">
        <f>'[2]I&amp;E'!I128</f>
        <v>100</v>
      </c>
      <c r="J79" s="364">
        <f>'[2]I&amp;E'!J128</f>
        <v>100</v>
      </c>
      <c r="K79" s="364">
        <f>'[2]I&amp;E'!K128</f>
        <v>100</v>
      </c>
      <c r="L79" s="364">
        <f>'[2]I&amp;E'!L128</f>
        <v>100</v>
      </c>
      <c r="M79" s="364">
        <f>'[2]I&amp;E'!M128</f>
        <v>100</v>
      </c>
      <c r="N79" s="364">
        <f>'[2]I&amp;E'!N128</f>
        <v>100</v>
      </c>
      <c r="O79" s="364">
        <f>'[2]I&amp;E'!O128</f>
        <v>100</v>
      </c>
      <c r="P79" s="364">
        <f>'[2]I&amp;E'!P128</f>
        <v>100</v>
      </c>
      <c r="Q79" s="364">
        <f>'[2]I&amp;E'!Q128</f>
        <v>100</v>
      </c>
    </row>
    <row r="80" spans="1:17" ht="13.5">
      <c r="A80" s="331" t="s">
        <v>31</v>
      </c>
      <c r="B80" s="331" t="s">
        <v>59</v>
      </c>
      <c r="C80" s="362" t="str">
        <f>'[2]I&amp;E'!C133</f>
        <v>Zaire</v>
      </c>
      <c r="D80" s="365" t="str">
        <f>'[2]I&amp;E'!D133</f>
        <v>Generator running (Maint, repair, fuel)</v>
      </c>
      <c r="E80" s="352">
        <f>'[2]I&amp;E'!E133</f>
        <v>600</v>
      </c>
      <c r="F80" s="364">
        <f>'[2]I&amp;E'!F133</f>
        <v>50</v>
      </c>
      <c r="G80" s="364">
        <f>'[2]I&amp;E'!G133</f>
        <v>50</v>
      </c>
      <c r="H80" s="364">
        <f>'[2]I&amp;E'!H133</f>
        <v>50</v>
      </c>
      <c r="I80" s="364">
        <f>'[2]I&amp;E'!I133</f>
        <v>50</v>
      </c>
      <c r="J80" s="364">
        <f>'[2]I&amp;E'!J133</f>
        <v>50</v>
      </c>
      <c r="K80" s="364">
        <f>'[2]I&amp;E'!K133</f>
        <v>50</v>
      </c>
      <c r="L80" s="364">
        <f>'[2]I&amp;E'!L133</f>
        <v>50</v>
      </c>
      <c r="M80" s="364">
        <f>'[2]I&amp;E'!M133</f>
        <v>50</v>
      </c>
      <c r="N80" s="364">
        <f>'[2]I&amp;E'!N133</f>
        <v>50</v>
      </c>
      <c r="O80" s="364">
        <f>'[2]I&amp;E'!O133</f>
        <v>50</v>
      </c>
      <c r="P80" s="364">
        <f>'[2]I&amp;E'!P133</f>
        <v>50</v>
      </c>
      <c r="Q80" s="364">
        <f>'[2]I&amp;E'!Q133</f>
        <v>50</v>
      </c>
    </row>
    <row r="81" spans="1:17" ht="13.5">
      <c r="A81" s="331" t="s">
        <v>31</v>
      </c>
      <c r="B81" s="331" t="s">
        <v>59</v>
      </c>
      <c r="C81" s="362" t="str">
        <f>'[2]I&amp;E'!C138</f>
        <v>Bie</v>
      </c>
      <c r="D81" s="365" t="str">
        <f>'[2]I&amp;E'!D138</f>
        <v>Generator running (Maint, repair, fuel)</v>
      </c>
      <c r="E81" s="352">
        <f>'[2]I&amp;E'!E138</f>
        <v>1200</v>
      </c>
      <c r="F81" s="364">
        <f>'[2]I&amp;E'!F138</f>
        <v>100</v>
      </c>
      <c r="G81" s="364">
        <f>'[2]I&amp;E'!G138</f>
        <v>100</v>
      </c>
      <c r="H81" s="364">
        <f>'[2]I&amp;E'!H138</f>
        <v>100</v>
      </c>
      <c r="I81" s="364">
        <f>'[2]I&amp;E'!I138</f>
        <v>100</v>
      </c>
      <c r="J81" s="364">
        <f>'[2]I&amp;E'!J138</f>
        <v>100</v>
      </c>
      <c r="K81" s="364">
        <f>'[2]I&amp;E'!K138</f>
        <v>100</v>
      </c>
      <c r="L81" s="364">
        <f>'[2]I&amp;E'!L138</f>
        <v>100</v>
      </c>
      <c r="M81" s="364">
        <f>'[2]I&amp;E'!M138</f>
        <v>100</v>
      </c>
      <c r="N81" s="364">
        <f>'[2]I&amp;E'!N138</f>
        <v>100</v>
      </c>
      <c r="O81" s="364">
        <f>'[2]I&amp;E'!O138</f>
        <v>100</v>
      </c>
      <c r="P81" s="364">
        <f>'[2]I&amp;E'!P138</f>
        <v>100</v>
      </c>
      <c r="Q81" s="364">
        <f>'[2]I&amp;E'!Q138</f>
        <v>100</v>
      </c>
    </row>
    <row r="82" spans="1:17" ht="13.5">
      <c r="A82" s="331" t="s">
        <v>31</v>
      </c>
      <c r="B82" s="331" t="s">
        <v>854</v>
      </c>
      <c r="C82" s="362" t="str">
        <f>'[2]I&amp;E'!C144</f>
        <v>Central</v>
      </c>
      <c r="D82" s="365" t="str">
        <f>'[2]I&amp;E'!D144</f>
        <v>Vehicle rental (lump sum)</v>
      </c>
      <c r="E82" s="352">
        <f>'[2]I&amp;E'!E144</f>
        <v>6000</v>
      </c>
      <c r="F82" s="364">
        <f>'[2]I&amp;E'!F144</f>
        <v>0</v>
      </c>
      <c r="G82" s="364">
        <f>'[2]I&amp;E'!G144</f>
        <v>0</v>
      </c>
      <c r="H82" s="364">
        <f>'[2]I&amp;E'!H144</f>
        <v>2000</v>
      </c>
      <c r="I82" s="364">
        <f>'[2]I&amp;E'!I144</f>
        <v>2000</v>
      </c>
      <c r="J82" s="364">
        <f>'[2]I&amp;E'!J144</f>
        <v>0</v>
      </c>
      <c r="K82" s="364">
        <f>'[2]I&amp;E'!K144</f>
        <v>0</v>
      </c>
      <c r="L82" s="364">
        <f>'[2]I&amp;E'!L144</f>
        <v>0</v>
      </c>
      <c r="M82" s="364">
        <f>'[2]I&amp;E'!M144</f>
        <v>0</v>
      </c>
      <c r="N82" s="364">
        <f>'[2]I&amp;E'!N144</f>
        <v>0</v>
      </c>
      <c r="O82" s="364">
        <f>'[2]I&amp;E'!O144</f>
        <v>0</v>
      </c>
      <c r="P82" s="364">
        <f>'[2]I&amp;E'!P144</f>
        <v>2000</v>
      </c>
      <c r="Q82" s="364">
        <f>'[2]I&amp;E'!Q144</f>
        <v>0</v>
      </c>
    </row>
    <row r="83" spans="1:17" ht="13.5">
      <c r="A83" s="331" t="s">
        <v>31</v>
      </c>
      <c r="B83" s="331" t="s">
        <v>854</v>
      </c>
      <c r="C83" s="362" t="str">
        <f>'[2]I&amp;E'!C144</f>
        <v>Central</v>
      </c>
      <c r="D83" s="365" t="str">
        <f>'[2]I&amp;E'!D144</f>
        <v>Vehicle rental (lump sum)</v>
      </c>
      <c r="E83" s="352">
        <f>'[2]I&amp;E'!E144</f>
        <v>6000</v>
      </c>
      <c r="F83" s="364">
        <f>'[2]I&amp;E'!F144</f>
        <v>0</v>
      </c>
      <c r="G83" s="364">
        <f>'[2]I&amp;E'!G144</f>
        <v>0</v>
      </c>
      <c r="H83" s="364">
        <f>'[2]I&amp;E'!H144</f>
        <v>2000</v>
      </c>
      <c r="I83" s="364">
        <f>'[2]I&amp;E'!I144</f>
        <v>2000</v>
      </c>
      <c r="J83" s="364">
        <f>'[2]I&amp;E'!J144</f>
        <v>0</v>
      </c>
      <c r="K83" s="364">
        <f>'[2]I&amp;E'!K144</f>
        <v>0</v>
      </c>
      <c r="L83" s="364">
        <f>'[2]I&amp;E'!L144</f>
        <v>0</v>
      </c>
      <c r="M83" s="364">
        <f>'[2]I&amp;E'!M144</f>
        <v>0</v>
      </c>
      <c r="N83" s="364">
        <f>'[2]I&amp;E'!N144</f>
        <v>0</v>
      </c>
      <c r="O83" s="364">
        <f>'[2]I&amp;E'!O144</f>
        <v>0</v>
      </c>
      <c r="P83" s="364">
        <f>'[2]I&amp;E'!P144</f>
        <v>2000</v>
      </c>
      <c r="Q83" s="364">
        <f>'[2]I&amp;E'!Q144</f>
        <v>0</v>
      </c>
    </row>
    <row r="84" spans="1:17" ht="13.5">
      <c r="A84" s="331" t="s">
        <v>30</v>
      </c>
      <c r="B84" s="331" t="s">
        <v>854</v>
      </c>
      <c r="C84" s="362" t="str">
        <f>'[2]Meds'!C3</f>
        <v>Central</v>
      </c>
      <c r="D84" s="365" t="str">
        <f>'[2]Meds'!D3</f>
        <v>Extra medicines (lumpsum)</v>
      </c>
      <c r="E84" s="366">
        <f>'[2]Meds'!E3</f>
        <v>33000</v>
      </c>
      <c r="F84" s="364">
        <f>'[2]Meds'!F3</f>
        <v>0</v>
      </c>
      <c r="G84" s="364">
        <f>'[2]Meds'!G3</f>
        <v>0</v>
      </c>
      <c r="H84" s="364">
        <f>'[2]Meds'!H3</f>
        <v>0</v>
      </c>
      <c r="I84" s="364">
        <f>'[2]Meds'!I3</f>
        <v>0</v>
      </c>
      <c r="J84" s="364">
        <f>'[2]Meds'!J3</f>
        <v>33000</v>
      </c>
      <c r="K84" s="364">
        <f>'[2]Meds'!K3</f>
        <v>0</v>
      </c>
      <c r="L84" s="364">
        <f>'[2]Meds'!L3</f>
        <v>0</v>
      </c>
      <c r="M84" s="364">
        <f>'[2]Meds'!M3</f>
        <v>0</v>
      </c>
      <c r="N84" s="364">
        <f>'[2]Meds'!N3</f>
        <v>0</v>
      </c>
      <c r="O84" s="364">
        <f>'[2]Meds'!O3</f>
        <v>0</v>
      </c>
      <c r="P84" s="364">
        <f>'[2]Meds'!P3</f>
        <v>0</v>
      </c>
      <c r="Q84" s="364">
        <f>'[2]Meds'!Q3</f>
        <v>0</v>
      </c>
    </row>
    <row r="85" spans="1:17" ht="13.5">
      <c r="A85" s="331" t="s">
        <v>28</v>
      </c>
      <c r="B85" s="331" t="s">
        <v>854</v>
      </c>
      <c r="C85" s="362" t="str">
        <f>'[2]Training'!C4</f>
        <v>Huambo</v>
      </c>
      <c r="D85" s="365" t="str">
        <f>'[2]Training'!D4</f>
        <v>MDA training</v>
      </c>
      <c r="E85" s="366">
        <f>'[2]Training'!E4</f>
        <v>4000</v>
      </c>
      <c r="F85" s="364">
        <f>'[2]Training'!F4</f>
        <v>0</v>
      </c>
      <c r="G85" s="364">
        <f>'[2]Training'!G4</f>
        <v>4000</v>
      </c>
      <c r="H85" s="364">
        <f>'[2]Training'!H4</f>
        <v>0</v>
      </c>
      <c r="I85" s="364">
        <f>'[2]Training'!I4</f>
        <v>0</v>
      </c>
      <c r="J85" s="364">
        <f>'[2]Training'!J4</f>
        <v>0</v>
      </c>
      <c r="K85" s="364">
        <f>'[2]Training'!K4</f>
        <v>0</v>
      </c>
      <c r="L85" s="364">
        <f>'[2]Training'!L4</f>
        <v>0</v>
      </c>
      <c r="M85" s="364">
        <f>'[2]Training'!M4</f>
        <v>0</v>
      </c>
      <c r="N85" s="364">
        <f>'[2]Training'!N4</f>
        <v>0</v>
      </c>
      <c r="O85" s="364">
        <f>'[2]Training'!O4</f>
        <v>0</v>
      </c>
      <c r="P85" s="364">
        <f>'[2]Training'!P4</f>
        <v>0</v>
      </c>
      <c r="Q85" s="364">
        <f>'[2]Training'!Q4</f>
        <v>0</v>
      </c>
    </row>
    <row r="86" spans="1:17" ht="13.5">
      <c r="A86" s="331" t="s">
        <v>28</v>
      </c>
      <c r="B86" s="331" t="s">
        <v>854</v>
      </c>
      <c r="C86" s="362" t="str">
        <f>'[2]Training'!C5</f>
        <v>Uige</v>
      </c>
      <c r="D86" s="365" t="str">
        <f>'[2]Training'!D5</f>
        <v>MDA training</v>
      </c>
      <c r="E86" s="366">
        <f>'[2]Training'!E5</f>
        <v>43750</v>
      </c>
      <c r="F86" s="364">
        <f>'[2]Training'!F5</f>
        <v>0</v>
      </c>
      <c r="G86" s="364">
        <f>'[2]Training'!G5</f>
        <v>0</v>
      </c>
      <c r="H86" s="364">
        <f>'[2]Training'!H5</f>
        <v>6250</v>
      </c>
      <c r="I86" s="364">
        <f>'[2]Training'!I5</f>
        <v>0</v>
      </c>
      <c r="J86" s="364">
        <f>'[2]Training'!J5</f>
        <v>0</v>
      </c>
      <c r="K86" s="364">
        <f>'[2]Training'!K5</f>
        <v>31250</v>
      </c>
      <c r="L86" s="364">
        <f>'[2]Training'!L5</f>
        <v>0</v>
      </c>
      <c r="M86" s="364">
        <f>'[2]Training'!M5</f>
        <v>0</v>
      </c>
      <c r="N86" s="364">
        <f>'[2]Training'!N5</f>
        <v>0</v>
      </c>
      <c r="O86" s="364">
        <f>'[2]Training'!O5</f>
        <v>0</v>
      </c>
      <c r="P86" s="364">
        <f>'[2]Training'!P5</f>
        <v>6250</v>
      </c>
      <c r="Q86" s="364">
        <f>'[2]Training'!Q5</f>
        <v>0</v>
      </c>
    </row>
    <row r="87" spans="1:17" ht="13.5">
      <c r="A87" s="331" t="s">
        <v>28</v>
      </c>
      <c r="B87" s="331" t="s">
        <v>854</v>
      </c>
      <c r="C87" s="362" t="str">
        <f>'[2]Training'!C6</f>
        <v>Zaire</v>
      </c>
      <c r="D87" s="365" t="str">
        <f>'[2]Training'!D6</f>
        <v>MDA training</v>
      </c>
      <c r="E87" s="366">
        <f>'[2]Training'!E6</f>
        <v>4300</v>
      </c>
      <c r="F87" s="364">
        <f>'[2]Training'!F6</f>
        <v>0</v>
      </c>
      <c r="G87" s="364">
        <f>'[2]Training'!G6</f>
        <v>0</v>
      </c>
      <c r="H87" s="364">
        <f>'[2]Training'!H6</f>
        <v>0</v>
      </c>
      <c r="I87" s="364">
        <f>'[2]Training'!I6</f>
        <v>4300</v>
      </c>
      <c r="J87" s="364">
        <f>'[2]Training'!J6</f>
        <v>0</v>
      </c>
      <c r="K87" s="364">
        <f>'[2]Training'!K6</f>
        <v>0</v>
      </c>
      <c r="L87" s="364">
        <f>'[2]Training'!L6</f>
        <v>0</v>
      </c>
      <c r="M87" s="364">
        <f>'[2]Training'!M6</f>
        <v>0</v>
      </c>
      <c r="N87" s="364">
        <f>'[2]Training'!N6</f>
        <v>0</v>
      </c>
      <c r="O87" s="364">
        <f>'[2]Training'!O6</f>
        <v>0</v>
      </c>
      <c r="P87" s="364">
        <f>'[2]Training'!P6</f>
        <v>0</v>
      </c>
      <c r="Q87" s="364">
        <f>'[2]Training'!Q6</f>
        <v>0</v>
      </c>
    </row>
    <row r="88" spans="1:17" ht="13.5">
      <c r="A88" s="331" t="s">
        <v>28</v>
      </c>
      <c r="B88" s="331" t="s">
        <v>854</v>
      </c>
      <c r="C88" s="362" t="str">
        <f>'[2]Training'!C7</f>
        <v>Bie</v>
      </c>
      <c r="D88" s="365" t="str">
        <f>'[2]Training'!D7</f>
        <v>MDA training</v>
      </c>
      <c r="E88" s="366">
        <f>'[2]Training'!E7</f>
        <v>5500</v>
      </c>
      <c r="F88" s="364">
        <f>'[2]Training'!F7</f>
        <v>0</v>
      </c>
      <c r="G88" s="364">
        <f>'[2]Training'!G7</f>
        <v>0</v>
      </c>
      <c r="H88" s="364">
        <f>'[2]Training'!H7</f>
        <v>0</v>
      </c>
      <c r="I88" s="364">
        <f>'[2]Training'!I7</f>
        <v>0</v>
      </c>
      <c r="J88" s="364">
        <f>'[2]Training'!J7</f>
        <v>5500</v>
      </c>
      <c r="K88" s="364">
        <f>'[2]Training'!K7</f>
        <v>0</v>
      </c>
      <c r="L88" s="364">
        <f>'[2]Training'!L7</f>
        <v>0</v>
      </c>
      <c r="M88" s="364">
        <f>'[2]Training'!M7</f>
        <v>0</v>
      </c>
      <c r="N88" s="364">
        <f>'[2]Training'!N7</f>
        <v>0</v>
      </c>
      <c r="O88" s="364">
        <f>'[2]Training'!O7</f>
        <v>0</v>
      </c>
      <c r="P88" s="364">
        <f>'[2]Training'!P7</f>
        <v>0</v>
      </c>
      <c r="Q88" s="364">
        <f>'[2]Training'!Q7</f>
        <v>0</v>
      </c>
    </row>
    <row r="89" spans="1:17" ht="13.5">
      <c r="A89" s="331" t="s">
        <v>28</v>
      </c>
      <c r="B89" s="331" t="s">
        <v>854</v>
      </c>
      <c r="C89" s="362" t="str">
        <f>'[2]Training'!C8</f>
        <v>Other</v>
      </c>
      <c r="D89" s="365" t="str">
        <f>'[2]Training'!D8</f>
        <v>MDA training</v>
      </c>
      <c r="E89" s="366">
        <f>'[2]Training'!E8</f>
        <v>34500</v>
      </c>
      <c r="F89" s="364">
        <f>'[2]Training'!F8</f>
        <v>0</v>
      </c>
      <c r="G89" s="364">
        <f>'[2]Training'!G8</f>
        <v>0</v>
      </c>
      <c r="H89" s="364">
        <f>'[2]Training'!H8</f>
        <v>0</v>
      </c>
      <c r="I89" s="364">
        <f>'[2]Training'!I8</f>
        <v>29750</v>
      </c>
      <c r="J89" s="364">
        <f>'[2]Training'!J8</f>
        <v>0</v>
      </c>
      <c r="K89" s="364">
        <f>'[2]Training'!K8</f>
        <v>0</v>
      </c>
      <c r="L89" s="364">
        <f>'[2]Training'!L8</f>
        <v>4750</v>
      </c>
      <c r="M89" s="364">
        <f>'[2]Training'!M8</f>
        <v>0</v>
      </c>
      <c r="N89" s="364">
        <f>'[2]Training'!N8</f>
        <v>0</v>
      </c>
      <c r="O89" s="364">
        <f>'[2]Training'!O8</f>
        <v>0</v>
      </c>
      <c r="P89" s="364">
        <f>'[2]Training'!P8</f>
        <v>0</v>
      </c>
      <c r="Q89" s="364">
        <f>'[2]Training'!Q8</f>
        <v>0</v>
      </c>
    </row>
    <row r="90" spans="1:17" ht="13.5">
      <c r="A90" s="331" t="s">
        <v>28</v>
      </c>
      <c r="B90" s="331" t="s">
        <v>48</v>
      </c>
      <c r="C90" s="362" t="str">
        <f>'[2]Training'!C12</f>
        <v>Huambo</v>
      </c>
      <c r="D90" s="365" t="str">
        <f>'[2]Training'!D12</f>
        <v>Training HF staff</v>
      </c>
      <c r="E90" s="366">
        <f>'[2]Training'!E12</f>
        <v>29600</v>
      </c>
      <c r="F90" s="364">
        <f>'[2]Training'!F12</f>
        <v>0</v>
      </c>
      <c r="G90" s="364">
        <f>'[2]Training'!G12</f>
        <v>0</v>
      </c>
      <c r="H90" s="364">
        <f>'[2]Training'!H12</f>
        <v>4800</v>
      </c>
      <c r="I90" s="364">
        <f>'[2]Training'!I12</f>
        <v>4400</v>
      </c>
      <c r="J90" s="364">
        <f>'[2]Training'!J12</f>
        <v>3000</v>
      </c>
      <c r="K90" s="364">
        <f>'[2]Training'!K12</f>
        <v>7100</v>
      </c>
      <c r="L90" s="364">
        <f>'[2]Training'!L12</f>
        <v>5200</v>
      </c>
      <c r="M90" s="364">
        <f>'[2]Training'!M12</f>
        <v>5100</v>
      </c>
      <c r="N90" s="364">
        <f>'[2]Training'!N12</f>
        <v>0</v>
      </c>
      <c r="O90" s="364">
        <f>'[2]Training'!O12</f>
        <v>0</v>
      </c>
      <c r="P90" s="364">
        <f>'[2]Training'!P12</f>
        <v>0</v>
      </c>
      <c r="Q90" s="364">
        <f>'[2]Training'!Q12</f>
        <v>0</v>
      </c>
    </row>
    <row r="91" spans="1:17" ht="13.5">
      <c r="A91" s="331" t="s">
        <v>28</v>
      </c>
      <c r="B91" s="331" t="s">
        <v>48</v>
      </c>
      <c r="C91" s="362" t="str">
        <f>'[2]Training'!C13</f>
        <v>Uige</v>
      </c>
      <c r="D91" s="365" t="str">
        <f>'[2]Training'!D13</f>
        <v>Training HF staff</v>
      </c>
      <c r="E91" s="366">
        <f>'[2]Training'!E13</f>
        <v>45000</v>
      </c>
      <c r="F91" s="364">
        <f>'[2]Training'!F13</f>
        <v>4700</v>
      </c>
      <c r="G91" s="364">
        <f>'[2]Training'!G13</f>
        <v>6400</v>
      </c>
      <c r="H91" s="364">
        <f>'[2]Training'!H13</f>
        <v>0</v>
      </c>
      <c r="I91" s="364">
        <f>'[2]Training'!I13</f>
        <v>4700</v>
      </c>
      <c r="J91" s="364">
        <f>'[2]Training'!J13</f>
        <v>3300</v>
      </c>
      <c r="K91" s="364">
        <f>'[2]Training'!K13</f>
        <v>0</v>
      </c>
      <c r="L91" s="364">
        <f>'[2]Training'!L13</f>
        <v>4400</v>
      </c>
      <c r="M91" s="364">
        <f>'[2]Training'!M13</f>
        <v>4400</v>
      </c>
      <c r="N91" s="364">
        <f>'[2]Training'!N13</f>
        <v>4700</v>
      </c>
      <c r="O91" s="364">
        <f>'[2]Training'!O13</f>
        <v>0</v>
      </c>
      <c r="P91" s="364">
        <f>'[2]Training'!P13</f>
        <v>12400</v>
      </c>
      <c r="Q91" s="364">
        <f>'[2]Training'!Q13</f>
        <v>0</v>
      </c>
    </row>
    <row r="92" spans="1:17" ht="13.5">
      <c r="A92" s="331" t="s">
        <v>28</v>
      </c>
      <c r="B92" s="331" t="s">
        <v>48</v>
      </c>
      <c r="C92" s="362" t="str">
        <f>'[2]Training'!C14</f>
        <v>Zaire</v>
      </c>
      <c r="D92" s="365" t="str">
        <f>'[2]Training'!D14</f>
        <v>Training HF staff</v>
      </c>
      <c r="E92" s="366">
        <f>'[2]Training'!E14</f>
        <v>0</v>
      </c>
      <c r="F92" s="364">
        <f>'[2]Training'!F14</f>
        <v>0</v>
      </c>
      <c r="G92" s="364">
        <f>'[2]Training'!G14</f>
        <v>0</v>
      </c>
      <c r="H92" s="364">
        <f>'[2]Training'!H14</f>
        <v>0</v>
      </c>
      <c r="I92" s="364">
        <f>'[2]Training'!I14</f>
        <v>0</v>
      </c>
      <c r="J92" s="364">
        <f>'[2]Training'!J14</f>
        <v>0</v>
      </c>
      <c r="K92" s="364">
        <f>'[2]Training'!K14</f>
        <v>0</v>
      </c>
      <c r="L92" s="364">
        <f>'[2]Training'!L14</f>
        <v>0</v>
      </c>
      <c r="M92" s="364">
        <f>'[2]Training'!M14</f>
        <v>0</v>
      </c>
      <c r="N92" s="364">
        <f>'[2]Training'!N14</f>
        <v>0</v>
      </c>
      <c r="O92" s="364">
        <f>'[2]Training'!O14</f>
        <v>0</v>
      </c>
      <c r="P92" s="364">
        <f>'[2]Training'!P14</f>
        <v>0</v>
      </c>
      <c r="Q92" s="364">
        <f>'[2]Training'!Q14</f>
        <v>0</v>
      </c>
    </row>
    <row r="93" spans="1:17" ht="13.5">
      <c r="A93" s="331" t="s">
        <v>28</v>
      </c>
      <c r="B93" s="331" t="s">
        <v>853</v>
      </c>
      <c r="C93" s="362" t="str">
        <f>'[2]Training'!C15</f>
        <v>Huambo</v>
      </c>
      <c r="D93" s="365" t="str">
        <f>'[2]Training'!D15</f>
        <v>Training teachers</v>
      </c>
      <c r="E93" s="366">
        <f>'[2]Training'!E15</f>
        <v>65500</v>
      </c>
      <c r="F93" s="364">
        <f>'[2]Training'!F15</f>
        <v>0</v>
      </c>
      <c r="G93" s="364">
        <f>'[2]Training'!G15</f>
        <v>0</v>
      </c>
      <c r="H93" s="364">
        <f>'[2]Training'!H15</f>
        <v>9400</v>
      </c>
      <c r="I93" s="364">
        <f>'[2]Training'!I15</f>
        <v>8300</v>
      </c>
      <c r="J93" s="364">
        <f>'[2]Training'!J15</f>
        <v>7300</v>
      </c>
      <c r="K93" s="364">
        <f>'[2]Training'!K15</f>
        <v>20000</v>
      </c>
      <c r="L93" s="364">
        <f>'[2]Training'!L15</f>
        <v>12700</v>
      </c>
      <c r="M93" s="364">
        <f>'[2]Training'!M15</f>
        <v>7800</v>
      </c>
      <c r="N93" s="364">
        <f>'[2]Training'!N15</f>
        <v>0</v>
      </c>
      <c r="O93" s="364">
        <f>'[2]Training'!O15</f>
        <v>0</v>
      </c>
      <c r="P93" s="364">
        <f>'[2]Training'!P15</f>
        <v>0</v>
      </c>
      <c r="Q93" s="364">
        <f>'[2]Training'!Q15</f>
        <v>0</v>
      </c>
    </row>
    <row r="94" spans="1:17" ht="13.5">
      <c r="A94" s="331" t="s">
        <v>28</v>
      </c>
      <c r="B94" s="331" t="s">
        <v>853</v>
      </c>
      <c r="C94" s="362" t="str">
        <f>'[2]Training'!C16</f>
        <v>Uige</v>
      </c>
      <c r="D94" s="365" t="str">
        <f>'[2]Training'!D16</f>
        <v>Training teachers</v>
      </c>
      <c r="E94" s="366">
        <f>'[2]Training'!E16</f>
        <v>95400</v>
      </c>
      <c r="F94" s="364">
        <f>'[2]Training'!F16</f>
        <v>8500</v>
      </c>
      <c r="G94" s="364">
        <f>'[2]Training'!G16</f>
        <v>17800</v>
      </c>
      <c r="H94" s="364">
        <f>'[2]Training'!H16</f>
        <v>0</v>
      </c>
      <c r="I94" s="364">
        <f>'[2]Training'!I16</f>
        <v>9200</v>
      </c>
      <c r="J94" s="364">
        <f>'[2]Training'!J16</f>
        <v>9100</v>
      </c>
      <c r="K94" s="364">
        <f>'[2]Training'!K16</f>
        <v>0</v>
      </c>
      <c r="L94" s="364">
        <f>'[2]Training'!L16</f>
        <v>7300</v>
      </c>
      <c r="M94" s="364">
        <f>'[2]Training'!M16</f>
        <v>20000</v>
      </c>
      <c r="N94" s="364">
        <f>'[2]Training'!N16</f>
        <v>11700</v>
      </c>
      <c r="O94" s="364">
        <f>'[2]Training'!O16</f>
        <v>0</v>
      </c>
      <c r="P94" s="364">
        <f>'[2]Training'!P16</f>
        <v>11800</v>
      </c>
      <c r="Q94" s="364">
        <f>'[2]Training'!Q16</f>
        <v>0</v>
      </c>
    </row>
    <row r="95" spans="1:17" ht="13.5">
      <c r="A95" s="331" t="s">
        <v>28</v>
      </c>
      <c r="B95" s="331" t="s">
        <v>853</v>
      </c>
      <c r="C95" s="362" t="str">
        <f>'[2]Training'!C17</f>
        <v>Zaire</v>
      </c>
      <c r="D95" s="365" t="str">
        <f>'[2]Training'!D17</f>
        <v>Training teachers</v>
      </c>
      <c r="E95" s="366">
        <f>'[2]Training'!E17</f>
        <v>0</v>
      </c>
      <c r="F95" s="364">
        <f>'[2]Training'!F17</f>
        <v>0</v>
      </c>
      <c r="G95" s="364">
        <f>'[2]Training'!G17</f>
        <v>0</v>
      </c>
      <c r="H95" s="364">
        <f>'[2]Training'!H17</f>
        <v>0</v>
      </c>
      <c r="I95" s="364">
        <f>'[2]Training'!I17</f>
        <v>0</v>
      </c>
      <c r="J95" s="364">
        <f>'[2]Training'!J17</f>
        <v>0</v>
      </c>
      <c r="K95" s="364">
        <f>'[2]Training'!K17</f>
        <v>0</v>
      </c>
      <c r="L95" s="364">
        <f>'[2]Training'!L17</f>
        <v>0</v>
      </c>
      <c r="M95" s="364">
        <f>'[2]Training'!M17</f>
        <v>0</v>
      </c>
      <c r="N95" s="364">
        <f>'[2]Training'!N17</f>
        <v>0</v>
      </c>
      <c r="O95" s="364">
        <f>'[2]Training'!O17</f>
        <v>0</v>
      </c>
      <c r="P95" s="364">
        <f>'[2]Training'!P17</f>
        <v>0</v>
      </c>
      <c r="Q95" s="364">
        <f>'[2]Training'!Q17</f>
        <v>0</v>
      </c>
    </row>
    <row r="96" spans="1:17" ht="13.5">
      <c r="A96" s="331" t="s">
        <v>28</v>
      </c>
      <c r="B96" s="331" t="s">
        <v>48</v>
      </c>
      <c r="C96" s="362" t="str">
        <f>'[2]Training'!C22</f>
        <v>Central</v>
      </c>
      <c r="D96" s="365" t="str">
        <f>'[2]Training'!D22</f>
        <v>International conference attendance</v>
      </c>
      <c r="E96" s="366">
        <f>'[2]Training'!E22</f>
        <v>10500</v>
      </c>
      <c r="F96" s="364">
        <f>'[2]Training'!F22</f>
        <v>0</v>
      </c>
      <c r="G96" s="364">
        <f>'[2]Training'!G22</f>
        <v>3500</v>
      </c>
      <c r="H96" s="364">
        <f>'[2]Training'!H22</f>
        <v>0</v>
      </c>
      <c r="I96" s="364">
        <f>'[2]Training'!I22</f>
        <v>0</v>
      </c>
      <c r="J96" s="364">
        <f>'[2]Training'!J22</f>
        <v>3500</v>
      </c>
      <c r="K96" s="364">
        <f>'[2]Training'!K22</f>
        <v>0</v>
      </c>
      <c r="L96" s="364">
        <f>'[2]Training'!L22</f>
        <v>0</v>
      </c>
      <c r="M96" s="364">
        <f>'[2]Training'!M22</f>
        <v>0</v>
      </c>
      <c r="N96" s="364">
        <f>'[2]Training'!N22</f>
        <v>3500</v>
      </c>
      <c r="O96" s="364">
        <f>'[2]Training'!O22</f>
        <v>0</v>
      </c>
      <c r="P96" s="364">
        <f>'[2]Training'!P22</f>
        <v>0</v>
      </c>
      <c r="Q96" s="364">
        <f>'[2]Training'!Q22</f>
        <v>0</v>
      </c>
    </row>
    <row r="97" spans="1:17" ht="13.5">
      <c r="A97" s="331" t="s">
        <v>28</v>
      </c>
      <c r="B97" s="331" t="s">
        <v>48</v>
      </c>
      <c r="C97" s="362" t="str">
        <f>'[2]Training'!C21</f>
        <v>Luanda</v>
      </c>
      <c r="D97" s="365" t="str">
        <f>'[2]Training'!D21</f>
        <v>National workshop</v>
      </c>
      <c r="E97" s="366">
        <f>'[2]Training'!E21</f>
        <v>5000</v>
      </c>
      <c r="F97" s="364">
        <f>'[2]Training'!F21</f>
        <v>0</v>
      </c>
      <c r="G97" s="364">
        <f>'[2]Training'!G21</f>
        <v>0</v>
      </c>
      <c r="H97" s="364">
        <f>'[2]Training'!H21</f>
        <v>0</v>
      </c>
      <c r="I97" s="364">
        <f>'[2]Training'!I21</f>
        <v>0</v>
      </c>
      <c r="J97" s="364">
        <f>'[2]Training'!J21</f>
        <v>0</v>
      </c>
      <c r="K97" s="364">
        <f>'[2]Training'!K21</f>
        <v>5000</v>
      </c>
      <c r="L97" s="364">
        <f>'[2]Training'!L21</f>
        <v>0</v>
      </c>
      <c r="M97" s="364">
        <f>'[2]Training'!M21</f>
        <v>0</v>
      </c>
      <c r="N97" s="364">
        <f>'[2]Training'!N21</f>
        <v>0</v>
      </c>
      <c r="O97" s="364">
        <f>'[2]Training'!O21</f>
        <v>0</v>
      </c>
      <c r="P97" s="364">
        <f>'[2]Training'!P21</f>
        <v>0</v>
      </c>
      <c r="Q97" s="364">
        <f>'[2]Training'!Q21</f>
        <v>0</v>
      </c>
    </row>
    <row r="98" spans="1:17" ht="13.5">
      <c r="A98" s="331" t="s">
        <v>28</v>
      </c>
      <c r="B98" s="331" t="s">
        <v>48</v>
      </c>
      <c r="C98" s="362" t="str">
        <f>'[2]Training'!C23</f>
        <v>Huambo</v>
      </c>
      <c r="D98" s="365" t="str">
        <f>'[2]Training'!D23</f>
        <v>Provincial workshop</v>
      </c>
      <c r="E98" s="366">
        <f>'[2]Training'!E23</f>
        <v>3500</v>
      </c>
      <c r="F98" s="364">
        <f>'[2]Training'!F23</f>
        <v>0</v>
      </c>
      <c r="G98" s="364">
        <f>'[2]Training'!G23</f>
        <v>0</v>
      </c>
      <c r="H98" s="364">
        <f>'[2]Training'!H23</f>
        <v>3500</v>
      </c>
      <c r="I98" s="364">
        <f>'[2]Training'!I23</f>
        <v>0</v>
      </c>
      <c r="J98" s="364">
        <f>'[2]Training'!J23</f>
        <v>0</v>
      </c>
      <c r="K98" s="364">
        <f>'[2]Training'!K23</f>
        <v>0</v>
      </c>
      <c r="L98" s="364">
        <f>'[2]Training'!L23</f>
        <v>0</v>
      </c>
      <c r="M98" s="364">
        <f>'[2]Training'!M23</f>
        <v>0</v>
      </c>
      <c r="N98" s="364">
        <f>'[2]Training'!N23</f>
        <v>0</v>
      </c>
      <c r="O98" s="364">
        <f>'[2]Training'!O23</f>
        <v>0</v>
      </c>
      <c r="P98" s="364">
        <f>'[2]Training'!P23</f>
        <v>0</v>
      </c>
      <c r="Q98" s="364">
        <f>'[2]Training'!Q23</f>
        <v>0</v>
      </c>
    </row>
    <row r="99" spans="1:17" ht="13.5">
      <c r="A99" s="331" t="s">
        <v>28</v>
      </c>
      <c r="B99" s="331" t="s">
        <v>48</v>
      </c>
      <c r="C99" s="362" t="str">
        <f>'[2]Training'!C24</f>
        <v>Uige</v>
      </c>
      <c r="D99" s="365" t="str">
        <f>'[2]Training'!D24</f>
        <v>Provincial workshop</v>
      </c>
      <c r="E99" s="366">
        <f>'[2]Training'!E24</f>
        <v>3500</v>
      </c>
      <c r="F99" s="364">
        <f>'[2]Training'!F24</f>
        <v>0</v>
      </c>
      <c r="G99" s="364">
        <f>'[2]Training'!G24</f>
        <v>0</v>
      </c>
      <c r="H99" s="364">
        <f>'[2]Training'!H24</f>
        <v>0</v>
      </c>
      <c r="I99" s="364">
        <f>'[2]Training'!I24</f>
        <v>0</v>
      </c>
      <c r="J99" s="364">
        <f>'[2]Training'!J24</f>
        <v>0</v>
      </c>
      <c r="K99" s="364">
        <f>'[2]Training'!K24</f>
        <v>0</v>
      </c>
      <c r="L99" s="364">
        <f>'[2]Training'!L24</f>
        <v>0</v>
      </c>
      <c r="M99" s="364">
        <f>'[2]Training'!M24</f>
        <v>3500</v>
      </c>
      <c r="N99" s="364">
        <f>'[2]Training'!N24</f>
        <v>0</v>
      </c>
      <c r="O99" s="364">
        <f>'[2]Training'!O24</f>
        <v>0</v>
      </c>
      <c r="P99" s="364">
        <f>'[2]Training'!P24</f>
        <v>0</v>
      </c>
      <c r="Q99" s="364">
        <f>'[2]Training'!Q24</f>
        <v>0</v>
      </c>
    </row>
    <row r="100" spans="1:17" ht="13.5">
      <c r="A100" s="331" t="s">
        <v>28</v>
      </c>
      <c r="B100" s="331" t="s">
        <v>48</v>
      </c>
      <c r="C100" s="362" t="str">
        <f>'[2]Training'!C25</f>
        <v>Zaire</v>
      </c>
      <c r="D100" s="365" t="str">
        <f>'[2]Training'!D25</f>
        <v>Provincial workshop</v>
      </c>
      <c r="E100" s="366">
        <f>'[2]Training'!E25</f>
        <v>0</v>
      </c>
      <c r="F100" s="364">
        <f>'[2]Training'!F25</f>
        <v>0</v>
      </c>
      <c r="G100" s="364">
        <f>'[2]Training'!G25</f>
        <v>0</v>
      </c>
      <c r="H100" s="364">
        <f>'[2]Training'!H25</f>
        <v>0</v>
      </c>
      <c r="I100" s="364">
        <f>'[2]Training'!I25</f>
        <v>0</v>
      </c>
      <c r="J100" s="364">
        <f>'[2]Training'!J25</f>
        <v>0</v>
      </c>
      <c r="K100" s="364">
        <f>'[2]Training'!K25</f>
        <v>0</v>
      </c>
      <c r="L100" s="364">
        <f>'[2]Training'!L25</f>
        <v>0</v>
      </c>
      <c r="M100" s="364">
        <f>'[2]Training'!M25</f>
        <v>0</v>
      </c>
      <c r="N100" s="364">
        <f>'[2]Training'!N25</f>
        <v>0</v>
      </c>
      <c r="O100" s="364">
        <f>'[2]Training'!O25</f>
        <v>0</v>
      </c>
      <c r="P100" s="364">
        <f>'[2]Training'!P25</f>
        <v>0</v>
      </c>
      <c r="Q100" s="364">
        <f>'[2]Training'!Q25</f>
        <v>0</v>
      </c>
    </row>
    <row r="101" spans="1:17" ht="13.5">
      <c r="A101" s="331" t="s">
        <v>28</v>
      </c>
      <c r="B101" s="331" t="s">
        <v>48</v>
      </c>
      <c r="C101" s="362" t="str">
        <f>'[2]Training'!C26</f>
        <v>Bie</v>
      </c>
      <c r="D101" s="365" t="str">
        <f>'[2]Training'!D26</f>
        <v>Provincial workshop</v>
      </c>
      <c r="E101" s="366">
        <f>'[2]Training'!E26</f>
        <v>3500</v>
      </c>
      <c r="F101" s="364">
        <f>'[2]Training'!F26</f>
        <v>0</v>
      </c>
      <c r="G101" s="364">
        <f>'[2]Training'!G26</f>
        <v>0</v>
      </c>
      <c r="H101" s="364">
        <f>'[2]Training'!H26</f>
        <v>0</v>
      </c>
      <c r="I101" s="364">
        <f>'[2]Training'!I26</f>
        <v>3500</v>
      </c>
      <c r="J101" s="364">
        <f>'[2]Training'!J26</f>
        <v>0</v>
      </c>
      <c r="K101" s="364">
        <f>'[2]Training'!K26</f>
        <v>0</v>
      </c>
      <c r="L101" s="364">
        <f>'[2]Training'!L26</f>
        <v>0</v>
      </c>
      <c r="M101" s="364">
        <f>'[2]Training'!M26</f>
        <v>0</v>
      </c>
      <c r="N101" s="364">
        <f>'[2]Training'!N26</f>
        <v>0</v>
      </c>
      <c r="O101" s="364">
        <f>'[2]Training'!O26</f>
        <v>0</v>
      </c>
      <c r="P101" s="364">
        <f>'[2]Training'!P26</f>
        <v>0</v>
      </c>
      <c r="Q101" s="364">
        <f>'[2]Training'!Q26</f>
        <v>0</v>
      </c>
    </row>
    <row r="102" spans="1:17" ht="13.5">
      <c r="A102" s="331" t="s">
        <v>8</v>
      </c>
      <c r="B102" s="331" t="s">
        <v>58</v>
      </c>
      <c r="C102" s="362" t="str">
        <f>'[2]M&amp;E'!C5</f>
        <v>Huambo</v>
      </c>
      <c r="D102" s="365" t="str">
        <f>'[2]M&amp;E'!D5</f>
        <v>Post training supervisions</v>
      </c>
      <c r="E102" s="366">
        <f>'[2]M&amp;E'!E5</f>
        <v>2400</v>
      </c>
      <c r="F102" s="364">
        <f>'[2]M&amp;E'!F5</f>
        <v>0</v>
      </c>
      <c r="G102" s="364">
        <f>'[2]M&amp;E'!G5</f>
        <v>0</v>
      </c>
      <c r="H102" s="364">
        <f>'[2]M&amp;E'!H5</f>
        <v>0</v>
      </c>
      <c r="I102" s="364">
        <f>'[2]M&amp;E'!I5</f>
        <v>0</v>
      </c>
      <c r="J102" s="364">
        <f>'[2]M&amp;E'!J5</f>
        <v>600</v>
      </c>
      <c r="K102" s="364">
        <f>'[2]M&amp;E'!K5</f>
        <v>0</v>
      </c>
      <c r="L102" s="364">
        <f>'[2]M&amp;E'!L5</f>
        <v>400</v>
      </c>
      <c r="M102" s="364">
        <f>'[2]M&amp;E'!M5</f>
        <v>600</v>
      </c>
      <c r="N102" s="364">
        <f>'[2]M&amp;E'!N5</f>
        <v>400</v>
      </c>
      <c r="O102" s="364">
        <f>'[2]M&amp;E'!O5</f>
        <v>400</v>
      </c>
      <c r="P102" s="364">
        <f>'[2]M&amp;E'!P5</f>
        <v>0</v>
      </c>
      <c r="Q102" s="364">
        <f>'[2]M&amp;E'!Q5</f>
        <v>0</v>
      </c>
    </row>
    <row r="103" spans="1:17" ht="13.5">
      <c r="A103" s="331" t="s">
        <v>8</v>
      </c>
      <c r="B103" s="331" t="s">
        <v>58</v>
      </c>
      <c r="C103" s="362" t="str">
        <f>'[2]M&amp;E'!C6</f>
        <v>Uige</v>
      </c>
      <c r="D103" s="365" t="str">
        <f>'[2]M&amp;E'!D6</f>
        <v>Post training supervisions</v>
      </c>
      <c r="E103" s="366">
        <f>'[2]M&amp;E'!E6</f>
        <v>44000</v>
      </c>
      <c r="F103" s="364">
        <f>'[2]M&amp;E'!F6</f>
        <v>0</v>
      </c>
      <c r="G103" s="364">
        <f>'[2]M&amp;E'!G6</f>
        <v>1600</v>
      </c>
      <c r="H103" s="364">
        <f>'[2]M&amp;E'!H6</f>
        <v>6800</v>
      </c>
      <c r="I103" s="364">
        <f>'[2]M&amp;E'!I6</f>
        <v>0</v>
      </c>
      <c r="J103" s="364">
        <f>'[2]M&amp;E'!J6</f>
        <v>6800</v>
      </c>
      <c r="K103" s="364">
        <f>'[2]M&amp;E'!K6</f>
        <v>1600</v>
      </c>
      <c r="L103" s="364">
        <f>'[2]M&amp;E'!L6</f>
        <v>0</v>
      </c>
      <c r="M103" s="364">
        <f>'[2]M&amp;E'!M6</f>
        <v>6800</v>
      </c>
      <c r="N103" s="364">
        <f>'[2]M&amp;E'!N6</f>
        <v>6800</v>
      </c>
      <c r="O103" s="364">
        <f>'[2]M&amp;E'!O6</f>
        <v>6800</v>
      </c>
      <c r="P103" s="364">
        <f>'[2]M&amp;E'!P6</f>
        <v>0</v>
      </c>
      <c r="Q103" s="364">
        <f>'[2]M&amp;E'!Q6</f>
        <v>6800</v>
      </c>
    </row>
    <row r="104" spans="1:17" ht="13.5">
      <c r="A104" s="331" t="s">
        <v>8</v>
      </c>
      <c r="B104" s="331" t="s">
        <v>58</v>
      </c>
      <c r="C104" s="362" t="str">
        <f>'[2]M&amp;E'!C7</f>
        <v>Zaire</v>
      </c>
      <c r="D104" s="365" t="str">
        <f>'[2]M&amp;E'!D7</f>
        <v>Post training supervisions</v>
      </c>
      <c r="E104" s="366">
        <f>'[2]M&amp;E'!E7</f>
        <v>0</v>
      </c>
      <c r="F104" s="364">
        <f>'[2]M&amp;E'!F7</f>
        <v>0</v>
      </c>
      <c r="G104" s="364">
        <f>'[2]M&amp;E'!G7</f>
        <v>0</v>
      </c>
      <c r="H104" s="364">
        <f>'[2]M&amp;E'!H7</f>
        <v>0</v>
      </c>
      <c r="I104" s="364">
        <f>'[2]M&amp;E'!I7</f>
        <v>0</v>
      </c>
      <c r="J104" s="364">
        <f>'[2]M&amp;E'!J7</f>
        <v>0</v>
      </c>
      <c r="K104" s="364">
        <f>'[2]M&amp;E'!K7</f>
        <v>0</v>
      </c>
      <c r="L104" s="364">
        <f>'[2]M&amp;E'!L7</f>
        <v>0</v>
      </c>
      <c r="M104" s="364">
        <f>'[2]M&amp;E'!M7</f>
        <v>0</v>
      </c>
      <c r="N104" s="364">
        <f>'[2]M&amp;E'!N7</f>
        <v>0</v>
      </c>
      <c r="O104" s="364">
        <f>'[2]M&amp;E'!O7</f>
        <v>0</v>
      </c>
      <c r="P104" s="364">
        <f>'[2]M&amp;E'!P7</f>
        <v>0</v>
      </c>
      <c r="Q104" s="364">
        <f>'[2]M&amp;E'!Q7</f>
        <v>0</v>
      </c>
    </row>
    <row r="105" spans="1:17" ht="13.5">
      <c r="A105" s="331" t="s">
        <v>8</v>
      </c>
      <c r="B105" s="331" t="s">
        <v>854</v>
      </c>
      <c r="C105" s="362" t="str">
        <f>'[2]M&amp;E'!C8</f>
        <v>Huambo</v>
      </c>
      <c r="D105" s="365" t="str">
        <f>'[2]M&amp;E'!D8</f>
        <v>MDA supervisions</v>
      </c>
      <c r="E105" s="366">
        <f>'[2]M&amp;E'!E8</f>
        <v>9500</v>
      </c>
      <c r="F105" s="364">
        <f>'[2]M&amp;E'!F8</f>
        <v>0</v>
      </c>
      <c r="G105" s="364">
        <f>'[2]M&amp;E'!G8</f>
        <v>9500</v>
      </c>
      <c r="H105" s="364">
        <f>'[2]M&amp;E'!H8</f>
        <v>0</v>
      </c>
      <c r="I105" s="364">
        <f>'[2]M&amp;E'!I8</f>
        <v>0</v>
      </c>
      <c r="J105" s="364">
        <f>'[2]M&amp;E'!J8</f>
        <v>0</v>
      </c>
      <c r="K105" s="364">
        <f>'[2]M&amp;E'!K8</f>
        <v>0</v>
      </c>
      <c r="L105" s="364">
        <f>'[2]M&amp;E'!L8</f>
        <v>0</v>
      </c>
      <c r="M105" s="364">
        <f>'[2]M&amp;E'!M8</f>
        <v>0</v>
      </c>
      <c r="N105" s="364">
        <f>'[2]M&amp;E'!N8</f>
        <v>0</v>
      </c>
      <c r="O105" s="364">
        <f>'[2]M&amp;E'!O8</f>
        <v>0</v>
      </c>
      <c r="P105" s="364">
        <f>'[2]M&amp;E'!P8</f>
        <v>0</v>
      </c>
      <c r="Q105" s="364">
        <f>'[2]M&amp;E'!Q8</f>
        <v>0</v>
      </c>
    </row>
    <row r="106" spans="1:17" ht="13.5">
      <c r="A106" s="331" t="s">
        <v>8</v>
      </c>
      <c r="B106" s="331" t="s">
        <v>854</v>
      </c>
      <c r="C106" s="362" t="str">
        <f>'[2]M&amp;E'!C9</f>
        <v>Uige</v>
      </c>
      <c r="D106" s="365" t="str">
        <f>'[2]M&amp;E'!D9</f>
        <v>MDA supervisions</v>
      </c>
      <c r="E106" s="366">
        <f>'[2]M&amp;E'!E9</f>
        <v>28500</v>
      </c>
      <c r="F106" s="364">
        <f>'[2]M&amp;E'!F9</f>
        <v>0</v>
      </c>
      <c r="G106" s="364">
        <f>'[2]M&amp;E'!G9</f>
        <v>0</v>
      </c>
      <c r="H106" s="364">
        <f>'[2]M&amp;E'!H9</f>
        <v>9500</v>
      </c>
      <c r="I106" s="364">
        <f>'[2]M&amp;E'!I9</f>
        <v>0</v>
      </c>
      <c r="J106" s="364">
        <f>'[2]M&amp;E'!J9</f>
        <v>0</v>
      </c>
      <c r="K106" s="364">
        <f>'[2]M&amp;E'!K9</f>
        <v>9500</v>
      </c>
      <c r="L106" s="364">
        <f>'[2]M&amp;E'!L9</f>
        <v>0</v>
      </c>
      <c r="M106" s="364">
        <f>'[2]M&amp;E'!M9</f>
        <v>0</v>
      </c>
      <c r="N106" s="364">
        <f>'[2]M&amp;E'!N9</f>
        <v>0</v>
      </c>
      <c r="O106" s="364">
        <f>'[2]M&amp;E'!O9</f>
        <v>0</v>
      </c>
      <c r="P106" s="364">
        <f>'[2]M&amp;E'!P9</f>
        <v>9500</v>
      </c>
      <c r="Q106" s="364">
        <f>'[2]M&amp;E'!Q9</f>
        <v>0</v>
      </c>
    </row>
    <row r="107" spans="1:17" ht="13.5">
      <c r="A107" s="331" t="s">
        <v>8</v>
      </c>
      <c r="B107" s="331" t="s">
        <v>854</v>
      </c>
      <c r="C107" s="362" t="str">
        <f>'[2]M&amp;E'!C10</f>
        <v>Zaire</v>
      </c>
      <c r="D107" s="365" t="str">
        <f>'[2]M&amp;E'!D10</f>
        <v>MDA supervisions</v>
      </c>
      <c r="E107" s="366">
        <f>'[2]M&amp;E'!E10</f>
        <v>8600</v>
      </c>
      <c r="F107" s="364">
        <f>'[2]M&amp;E'!F10</f>
        <v>0</v>
      </c>
      <c r="G107" s="364">
        <f>'[2]M&amp;E'!G10</f>
        <v>0</v>
      </c>
      <c r="H107" s="364">
        <f>'[2]M&amp;E'!H10</f>
        <v>0</v>
      </c>
      <c r="I107" s="364">
        <f>'[2]M&amp;E'!I10</f>
        <v>8600</v>
      </c>
      <c r="J107" s="364">
        <f>'[2]M&amp;E'!J10</f>
        <v>0</v>
      </c>
      <c r="K107" s="364">
        <f>'[2]M&amp;E'!K10</f>
        <v>0</v>
      </c>
      <c r="L107" s="364">
        <f>'[2]M&amp;E'!L10</f>
        <v>0</v>
      </c>
      <c r="M107" s="364">
        <f>'[2]M&amp;E'!M10</f>
        <v>0</v>
      </c>
      <c r="N107" s="364">
        <f>'[2]M&amp;E'!N10</f>
        <v>0</v>
      </c>
      <c r="O107" s="364">
        <f>'[2]M&amp;E'!O10</f>
        <v>0</v>
      </c>
      <c r="P107" s="364">
        <f>'[2]M&amp;E'!P10</f>
        <v>0</v>
      </c>
      <c r="Q107" s="364">
        <f>'[2]M&amp;E'!Q10</f>
        <v>0</v>
      </c>
    </row>
    <row r="108" spans="1:17" ht="13.5">
      <c r="A108" s="331" t="s">
        <v>8</v>
      </c>
      <c r="B108" s="331" t="s">
        <v>854</v>
      </c>
      <c r="C108" s="362" t="str">
        <f>'[2]M&amp;E'!C11</f>
        <v>Bie</v>
      </c>
      <c r="D108" s="365" t="str">
        <f>'[2]M&amp;E'!D11</f>
        <v>MDA supervisions</v>
      </c>
      <c r="E108" s="366">
        <f>'[2]M&amp;E'!E11</f>
        <v>8875</v>
      </c>
      <c r="F108" s="364">
        <f>'[2]M&amp;E'!F11</f>
        <v>0</v>
      </c>
      <c r="G108" s="364">
        <f>'[2]M&amp;E'!G11</f>
        <v>0</v>
      </c>
      <c r="H108" s="364">
        <f>'[2]M&amp;E'!H11</f>
        <v>0</v>
      </c>
      <c r="I108" s="364">
        <f>'[2]M&amp;E'!I11</f>
        <v>0</v>
      </c>
      <c r="J108" s="364">
        <f>'[2]M&amp;E'!J11</f>
        <v>8875</v>
      </c>
      <c r="K108" s="364">
        <f>'[2]M&amp;E'!K11</f>
        <v>0</v>
      </c>
      <c r="L108" s="364">
        <f>'[2]M&amp;E'!L11</f>
        <v>0</v>
      </c>
      <c r="M108" s="364">
        <f>'[2]M&amp;E'!M11</f>
        <v>0</v>
      </c>
      <c r="N108" s="364">
        <f>'[2]M&amp;E'!N11</f>
        <v>0</v>
      </c>
      <c r="O108" s="364">
        <f>'[2]M&amp;E'!O11</f>
        <v>0</v>
      </c>
      <c r="P108" s="364">
        <f>'[2]M&amp;E'!P11</f>
        <v>0</v>
      </c>
      <c r="Q108" s="364">
        <f>'[2]M&amp;E'!Q11</f>
        <v>0</v>
      </c>
    </row>
    <row r="109" spans="1:17" ht="13.5">
      <c r="A109" s="331" t="s">
        <v>8</v>
      </c>
      <c r="B109" s="331" t="s">
        <v>854</v>
      </c>
      <c r="C109" s="367" t="str">
        <f>'[2]M&amp;E'!C12</f>
        <v>Other</v>
      </c>
      <c r="D109" s="368" t="str">
        <f>'[2]M&amp;E'!D12</f>
        <v>MDA supervisions</v>
      </c>
      <c r="E109" s="369">
        <f>'[2]M&amp;E'!E12</f>
        <v>30500</v>
      </c>
      <c r="F109" s="370">
        <f>'[2]M&amp;E'!F12</f>
        <v>0</v>
      </c>
      <c r="G109" s="370">
        <f>'[2]M&amp;E'!G12</f>
        <v>0</v>
      </c>
      <c r="H109" s="370">
        <f>'[2]M&amp;E'!H12</f>
        <v>0</v>
      </c>
      <c r="I109" s="370">
        <f>'[2]M&amp;E'!I12</f>
        <v>15250</v>
      </c>
      <c r="J109" s="370">
        <f>'[2]M&amp;E'!J12</f>
        <v>0</v>
      </c>
      <c r="K109" s="370">
        <f>'[2]M&amp;E'!K12</f>
        <v>0</v>
      </c>
      <c r="L109" s="370">
        <f>'[2]M&amp;E'!L12</f>
        <v>15250</v>
      </c>
      <c r="M109" s="370">
        <f>'[2]M&amp;E'!M12</f>
        <v>0</v>
      </c>
      <c r="N109" s="370">
        <f>'[2]M&amp;E'!N12</f>
        <v>0</v>
      </c>
      <c r="O109" s="370">
        <f>'[2]M&amp;E'!O12</f>
        <v>0</v>
      </c>
      <c r="P109" s="370">
        <f>'[2]M&amp;E'!P12</f>
        <v>0</v>
      </c>
      <c r="Q109" s="370">
        <f>'[2]M&amp;E'!Q12</f>
        <v>0</v>
      </c>
    </row>
    <row r="110" spans="1:17" ht="13.5">
      <c r="A110" s="331"/>
      <c r="B110" s="331"/>
      <c r="C110" s="334"/>
      <c r="D110" s="331"/>
      <c r="E110" s="331"/>
      <c r="F110" s="331"/>
      <c r="G110" s="331"/>
      <c r="H110" s="331"/>
      <c r="I110" s="331"/>
      <c r="J110" s="331"/>
      <c r="K110" s="331"/>
      <c r="L110" s="331"/>
      <c r="M110" s="331"/>
      <c r="N110" s="331"/>
      <c r="O110" s="331"/>
      <c r="P110" s="331"/>
      <c r="Q110" s="331"/>
    </row>
    <row r="111" spans="1:17" ht="13.5">
      <c r="A111" s="371"/>
      <c r="B111" s="371"/>
      <c r="C111" s="372"/>
      <c r="D111" s="373" t="s">
        <v>1264</v>
      </c>
      <c r="E111" s="374">
        <f aca="true" t="shared" si="0" ref="E111:Q111">SUM(E9:E110)</f>
        <v>1955381.742</v>
      </c>
      <c r="F111" s="374">
        <f t="shared" si="0"/>
        <v>158762.416</v>
      </c>
      <c r="G111" s="374">
        <f t="shared" si="0"/>
        <v>159006.541</v>
      </c>
      <c r="H111" s="374">
        <f t="shared" si="0"/>
        <v>152228.416</v>
      </c>
      <c r="I111" s="374">
        <f t="shared" si="0"/>
        <v>185991.541</v>
      </c>
      <c r="J111" s="374">
        <f t="shared" si="0"/>
        <v>213166.541</v>
      </c>
      <c r="K111" s="374">
        <f t="shared" si="0"/>
        <v>266221.54099999997</v>
      </c>
      <c r="L111" s="374">
        <f t="shared" si="0"/>
        <v>172306.541</v>
      </c>
      <c r="M111" s="374">
        <f t="shared" si="0"/>
        <v>140211.541</v>
      </c>
      <c r="N111" s="374">
        <f t="shared" si="0"/>
        <v>140853.416</v>
      </c>
      <c r="O111" s="374">
        <f t="shared" si="0"/>
        <v>93221.541</v>
      </c>
      <c r="P111" s="374">
        <f t="shared" si="0"/>
        <v>136571.541</v>
      </c>
      <c r="Q111" s="374">
        <f t="shared" si="0"/>
        <v>136840.166</v>
      </c>
    </row>
    <row r="112" spans="1:17" ht="13.5">
      <c r="A112" s="331"/>
      <c r="B112" s="331"/>
      <c r="C112" s="334"/>
      <c r="D112" s="331"/>
      <c r="E112" s="331"/>
      <c r="F112" s="331"/>
      <c r="G112" s="331"/>
      <c r="H112" s="331"/>
      <c r="I112" s="331"/>
      <c r="J112" s="331"/>
      <c r="K112" s="331"/>
      <c r="L112" s="331"/>
      <c r="M112" s="331"/>
      <c r="N112" s="331"/>
      <c r="O112" s="331"/>
      <c r="P112" s="331"/>
      <c r="Q112" s="331"/>
    </row>
    <row r="113" spans="1:17" ht="13.5">
      <c r="A113" s="331" t="s">
        <v>35</v>
      </c>
      <c r="B113" s="331" t="s">
        <v>59</v>
      </c>
      <c r="C113" s="334"/>
      <c r="D113" s="375" t="s">
        <v>1267</v>
      </c>
      <c r="E113" s="376">
        <f>E111*0.1</f>
        <v>195538.1742</v>
      </c>
      <c r="F113" s="376">
        <f aca="true" t="shared" si="1" ref="F113:Q113">F111*0.1</f>
        <v>15876.241600000001</v>
      </c>
      <c r="G113" s="376">
        <f t="shared" si="1"/>
        <v>15900.6541</v>
      </c>
      <c r="H113" s="376">
        <f t="shared" si="1"/>
        <v>15222.8416</v>
      </c>
      <c r="I113" s="376">
        <f t="shared" si="1"/>
        <v>18599.1541</v>
      </c>
      <c r="J113" s="376">
        <f t="shared" si="1"/>
        <v>21316.6541</v>
      </c>
      <c r="K113" s="376">
        <f t="shared" si="1"/>
        <v>26622.1541</v>
      </c>
      <c r="L113" s="376">
        <f t="shared" si="1"/>
        <v>17230.6541</v>
      </c>
      <c r="M113" s="376">
        <f t="shared" si="1"/>
        <v>14021.1541</v>
      </c>
      <c r="N113" s="376">
        <f t="shared" si="1"/>
        <v>14085.3416</v>
      </c>
      <c r="O113" s="376">
        <f t="shared" si="1"/>
        <v>9322.1541</v>
      </c>
      <c r="P113" s="376">
        <f t="shared" si="1"/>
        <v>13657.1541</v>
      </c>
      <c r="Q113" s="376">
        <f t="shared" si="1"/>
        <v>13684.0166</v>
      </c>
    </row>
    <row r="114" spans="1:17" ht="13.5">
      <c r="A114" s="331"/>
      <c r="B114" s="331"/>
      <c r="C114" s="334"/>
      <c r="D114" s="331"/>
      <c r="E114" s="331"/>
      <c r="F114" s="331"/>
      <c r="G114" s="331"/>
      <c r="H114" s="331"/>
      <c r="I114" s="331"/>
      <c r="J114" s="331"/>
      <c r="K114" s="331"/>
      <c r="L114" s="331"/>
      <c r="M114" s="331"/>
      <c r="N114" s="331"/>
      <c r="O114" s="331"/>
      <c r="P114" s="331"/>
      <c r="Q114" s="331"/>
    </row>
    <row r="115" spans="1:17" ht="13.5">
      <c r="A115" s="371"/>
      <c r="B115" s="371"/>
      <c r="C115" s="372"/>
      <c r="D115" s="373" t="s">
        <v>80</v>
      </c>
      <c r="E115" s="377">
        <f>SUM(E111:E114)</f>
        <v>2150919.9162</v>
      </c>
      <c r="F115" s="377">
        <f aca="true" t="shared" si="2" ref="F115:Q115">SUM(F111:F114)</f>
        <v>174638.6576</v>
      </c>
      <c r="G115" s="377">
        <f t="shared" si="2"/>
        <v>174907.1951</v>
      </c>
      <c r="H115" s="377">
        <f t="shared" si="2"/>
        <v>167451.2576</v>
      </c>
      <c r="I115" s="377">
        <f t="shared" si="2"/>
        <v>204590.6951</v>
      </c>
      <c r="J115" s="377">
        <f t="shared" si="2"/>
        <v>234483.1951</v>
      </c>
      <c r="K115" s="377">
        <f t="shared" si="2"/>
        <v>292843.69509999995</v>
      </c>
      <c r="L115" s="377">
        <f t="shared" si="2"/>
        <v>189537.1951</v>
      </c>
      <c r="M115" s="377">
        <f t="shared" si="2"/>
        <v>154232.6951</v>
      </c>
      <c r="N115" s="377">
        <f t="shared" si="2"/>
        <v>154938.7576</v>
      </c>
      <c r="O115" s="377">
        <f t="shared" si="2"/>
        <v>102543.6951</v>
      </c>
      <c r="P115" s="377">
        <f t="shared" si="2"/>
        <v>150228.6951</v>
      </c>
      <c r="Q115" s="377">
        <f t="shared" si="2"/>
        <v>150524.1826</v>
      </c>
    </row>
  </sheetData>
  <sheetProtection/>
  <mergeCells count="10">
    <mergeCell ref="C1:Q1"/>
    <mergeCell ref="C2:Q2"/>
    <mergeCell ref="C3:Q3"/>
    <mergeCell ref="C4:Q4"/>
    <mergeCell ref="C5:Q5"/>
    <mergeCell ref="A7:B7"/>
    <mergeCell ref="F7:H7"/>
    <mergeCell ref="I7:K7"/>
    <mergeCell ref="L7:N7"/>
    <mergeCell ref="O7:Q7"/>
  </mergeCells>
  <printOp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dimension ref="A1:BI478"/>
  <sheetViews>
    <sheetView workbookViewId="0" topLeftCell="A1">
      <selection activeCell="A1" sqref="A1"/>
    </sheetView>
  </sheetViews>
  <sheetFormatPr defaultColWidth="11.57421875" defaultRowHeight="15"/>
  <cols>
    <col min="1" max="1" width="1.421875" style="63" customWidth="1"/>
    <col min="2" max="3" width="20.421875" style="63" customWidth="1"/>
    <col min="4" max="4" width="20.421875" style="261" customWidth="1"/>
    <col min="5" max="5" width="46.00390625" style="64" customWidth="1"/>
    <col min="6" max="6" width="7.140625" style="63" customWidth="1"/>
    <col min="7" max="7" width="7.7109375" style="63" customWidth="1"/>
    <col min="8" max="10" width="7.140625" style="63" customWidth="1"/>
    <col min="11" max="11" width="9.140625" style="63" customWidth="1"/>
    <col min="12" max="19" width="9.140625" style="95" customWidth="1"/>
    <col min="20" max="20" width="7.140625" style="63" customWidth="1"/>
    <col min="21" max="21" width="9.421875" style="63" customWidth="1"/>
    <col min="22" max="22" width="7.140625" style="63" customWidth="1"/>
    <col min="23" max="23" width="8.7109375" style="63" customWidth="1"/>
    <col min="24" max="24" width="8.28125" style="63" customWidth="1"/>
    <col min="25" max="25" width="44.421875" style="63" customWidth="1"/>
    <col min="26" max="27" width="21.7109375" style="63" customWidth="1"/>
    <col min="28" max="29" width="11.421875" style="63" customWidth="1"/>
    <col min="30" max="30" width="14.7109375" style="63" customWidth="1"/>
    <col min="31" max="31" width="13.00390625" style="63" customWidth="1"/>
    <col min="32" max="16384" width="11.421875" style="63" customWidth="1"/>
  </cols>
  <sheetData>
    <row r="1" spans="1:25" ht="10.5">
      <c r="A1" s="63" t="s">
        <v>503</v>
      </c>
      <c r="J1" s="875" t="s">
        <v>2</v>
      </c>
      <c r="K1" s="875"/>
      <c r="T1" s="875" t="s">
        <v>10</v>
      </c>
      <c r="U1" s="875"/>
      <c r="V1" s="876" t="s">
        <v>504</v>
      </c>
      <c r="W1" s="877"/>
      <c r="Y1" s="65"/>
    </row>
    <row r="2" spans="1:26" ht="22.5" customHeight="1" thickBot="1">
      <c r="A2" s="63" t="s">
        <v>503</v>
      </c>
      <c r="G2" s="66" t="s">
        <v>125</v>
      </c>
      <c r="I2" s="66" t="s">
        <v>125</v>
      </c>
      <c r="K2" s="66" t="s">
        <v>125</v>
      </c>
      <c r="L2" s="192"/>
      <c r="M2" s="192"/>
      <c r="N2" s="192"/>
      <c r="O2" s="192"/>
      <c r="P2" s="192"/>
      <c r="Q2" s="192"/>
      <c r="R2" s="192"/>
      <c r="S2" s="192"/>
      <c r="U2" s="66" t="s">
        <v>125</v>
      </c>
      <c r="V2" s="67"/>
      <c r="W2" s="68" t="s">
        <v>125</v>
      </c>
      <c r="X2" s="66"/>
      <c r="Y2" s="69"/>
      <c r="Z2" s="70"/>
    </row>
    <row r="3" spans="1:32" ht="33" customHeight="1" thickBot="1">
      <c r="A3" s="63" t="s">
        <v>503</v>
      </c>
      <c r="B3" s="871" t="s">
        <v>1239</v>
      </c>
      <c r="C3" s="871" t="s">
        <v>798</v>
      </c>
      <c r="D3" s="873" t="s">
        <v>1238</v>
      </c>
      <c r="E3" s="71" t="s">
        <v>82</v>
      </c>
      <c r="F3" s="72" t="s">
        <v>505</v>
      </c>
      <c r="G3" s="72" t="s">
        <v>84</v>
      </c>
      <c r="H3" s="72" t="s">
        <v>85</v>
      </c>
      <c r="I3" s="73" t="s">
        <v>506</v>
      </c>
      <c r="J3" s="72" t="s">
        <v>83</v>
      </c>
      <c r="K3" s="72" t="s">
        <v>507</v>
      </c>
      <c r="L3" s="878" t="s">
        <v>20</v>
      </c>
      <c r="M3" s="879"/>
      <c r="N3" s="878" t="s">
        <v>21</v>
      </c>
      <c r="O3" s="879"/>
      <c r="P3" s="878" t="s">
        <v>22</v>
      </c>
      <c r="Q3" s="879"/>
      <c r="R3" s="878" t="s">
        <v>23</v>
      </c>
      <c r="S3" s="879"/>
      <c r="T3" s="74" t="s">
        <v>83</v>
      </c>
      <c r="U3" s="73" t="s">
        <v>508</v>
      </c>
      <c r="V3" s="72" t="s">
        <v>83</v>
      </c>
      <c r="W3" s="72" t="s">
        <v>509</v>
      </c>
      <c r="X3" s="75" t="s">
        <v>510</v>
      </c>
      <c r="Y3" s="73" t="s">
        <v>511</v>
      </c>
      <c r="Z3" s="76" t="s">
        <v>512</v>
      </c>
      <c r="AA3" s="76" t="s">
        <v>513</v>
      </c>
      <c r="AB3" s="76" t="s">
        <v>514</v>
      </c>
      <c r="AC3" s="76" t="s">
        <v>82</v>
      </c>
      <c r="AD3" s="76" t="s">
        <v>24</v>
      </c>
      <c r="AE3" s="76" t="s">
        <v>515</v>
      </c>
      <c r="AF3" s="63" t="s">
        <v>846</v>
      </c>
    </row>
    <row r="4" spans="1:25" ht="18" customHeight="1" thickBot="1">
      <c r="A4" s="63" t="s">
        <v>503</v>
      </c>
      <c r="B4" s="872"/>
      <c r="C4" s="872"/>
      <c r="D4" s="874"/>
      <c r="E4" s="77" t="s">
        <v>127</v>
      </c>
      <c r="F4" s="77" t="s">
        <v>505</v>
      </c>
      <c r="G4" s="77" t="s">
        <v>84</v>
      </c>
      <c r="H4" s="77" t="s">
        <v>85</v>
      </c>
      <c r="I4" s="77" t="s">
        <v>506</v>
      </c>
      <c r="J4" s="78" t="s">
        <v>83</v>
      </c>
      <c r="K4" s="79" t="s">
        <v>507</v>
      </c>
      <c r="L4" s="111" t="s">
        <v>20</v>
      </c>
      <c r="M4" s="111" t="s">
        <v>1063</v>
      </c>
      <c r="N4" s="111" t="s">
        <v>21</v>
      </c>
      <c r="O4" s="111" t="s">
        <v>1063</v>
      </c>
      <c r="P4" s="111" t="s">
        <v>22</v>
      </c>
      <c r="Q4" s="111" t="s">
        <v>1063</v>
      </c>
      <c r="R4" s="111" t="s">
        <v>23</v>
      </c>
      <c r="S4" s="111" t="s">
        <v>1063</v>
      </c>
      <c r="T4" s="80" t="s">
        <v>83</v>
      </c>
      <c r="U4" s="80" t="s">
        <v>508</v>
      </c>
      <c r="V4" s="78" t="s">
        <v>83</v>
      </c>
      <c r="W4" s="79" t="s">
        <v>509</v>
      </c>
      <c r="X4" s="81"/>
      <c r="Y4" s="82"/>
    </row>
    <row r="5" spans="1:32" ht="25.5" customHeight="1">
      <c r="A5" s="63" t="s">
        <v>503</v>
      </c>
      <c r="B5" s="95" t="s">
        <v>26</v>
      </c>
      <c r="C5" s="95" t="s">
        <v>58</v>
      </c>
      <c r="D5" s="276" t="s">
        <v>882</v>
      </c>
      <c r="E5" s="83" t="s">
        <v>516</v>
      </c>
      <c r="F5" s="43">
        <v>1</v>
      </c>
      <c r="G5" s="47">
        <v>3500</v>
      </c>
      <c r="H5" s="47" t="s">
        <v>90</v>
      </c>
      <c r="I5" s="99">
        <f>F5*G5</f>
        <v>3500</v>
      </c>
      <c r="J5" s="85">
        <v>12</v>
      </c>
      <c r="K5" s="86">
        <f>J5*I5</f>
        <v>42000</v>
      </c>
      <c r="L5" s="155">
        <f>K5/4</f>
        <v>10500</v>
      </c>
      <c r="M5" s="291">
        <v>7393.3</v>
      </c>
      <c r="N5" s="155">
        <f>K5/4</f>
        <v>10500</v>
      </c>
      <c r="O5" s="291">
        <v>6435.48</v>
      </c>
      <c r="P5" s="155">
        <f>K5/4</f>
        <v>10500</v>
      </c>
      <c r="Q5" s="291">
        <v>4182.77</v>
      </c>
      <c r="R5" s="155">
        <f>K5/4</f>
        <v>10500</v>
      </c>
      <c r="S5" s="400">
        <f>SUMIF(Hoja1!B:B,'Budget YR2-4 DC+Hm'!D:D,Hoja1!G:G)</f>
        <v>0</v>
      </c>
      <c r="T5" s="87">
        <v>12</v>
      </c>
      <c r="U5" s="84">
        <f aca="true" t="shared" si="0" ref="U5:U41">T5*I5</f>
        <v>42000</v>
      </c>
      <c r="V5" s="85">
        <v>12</v>
      </c>
      <c r="W5" s="86">
        <f aca="true" t="shared" si="1" ref="W5:W41">V5*I5</f>
        <v>42000</v>
      </c>
      <c r="X5" s="88">
        <f aca="true" t="shared" si="2" ref="X5:X36">K5+U5+W5</f>
        <v>126000</v>
      </c>
      <c r="Y5" s="89" t="s">
        <v>517</v>
      </c>
      <c r="Z5" s="63" t="s">
        <v>518</v>
      </c>
      <c r="AA5" s="63" t="s">
        <v>519</v>
      </c>
      <c r="AB5" s="63" t="s">
        <v>519</v>
      </c>
      <c r="AC5" s="63" t="s">
        <v>520</v>
      </c>
      <c r="AD5" s="63" t="s">
        <v>521</v>
      </c>
      <c r="AE5" s="63" t="s">
        <v>522</v>
      </c>
      <c r="AF5" s="63" t="s">
        <v>522</v>
      </c>
    </row>
    <row r="6" spans="1:31" ht="25.5" customHeight="1">
      <c r="A6" s="63" t="s">
        <v>503</v>
      </c>
      <c r="B6" s="95" t="s">
        <v>26</v>
      </c>
      <c r="C6" s="95" t="s">
        <v>58</v>
      </c>
      <c r="D6" s="276" t="s">
        <v>881</v>
      </c>
      <c r="E6" s="83" t="s">
        <v>523</v>
      </c>
      <c r="F6" s="43">
        <v>1</v>
      </c>
      <c r="G6" s="47">
        <v>3500</v>
      </c>
      <c r="H6" s="47" t="s">
        <v>90</v>
      </c>
      <c r="I6" s="99">
        <f aca="true" t="shared" si="3" ref="I6:I37">F6*G6</f>
        <v>3500</v>
      </c>
      <c r="J6" s="85">
        <v>10</v>
      </c>
      <c r="K6" s="86">
        <f aca="true" t="shared" si="4" ref="K6:K41">J6*I6</f>
        <v>35000</v>
      </c>
      <c r="L6" s="155">
        <f>K6/4</f>
        <v>8750</v>
      </c>
      <c r="M6" s="291">
        <v>0</v>
      </c>
      <c r="N6" s="155">
        <f>K6/4</f>
        <v>8750</v>
      </c>
      <c r="O6" s="291">
        <v>0</v>
      </c>
      <c r="P6" s="155">
        <f>K6/4</f>
        <v>8750</v>
      </c>
      <c r="Q6" s="291">
        <v>10496.51</v>
      </c>
      <c r="R6" s="155">
        <f>K6/4</f>
        <v>8750</v>
      </c>
      <c r="S6" s="400">
        <f>SUMIF(Hoja1!B:B,'Budget YR2-4 DC+Hm'!D:D,Hoja1!G:G)</f>
        <v>10700</v>
      </c>
      <c r="T6" s="87">
        <v>12</v>
      </c>
      <c r="U6" s="84">
        <f t="shared" si="0"/>
        <v>42000</v>
      </c>
      <c r="V6" s="85">
        <v>12</v>
      </c>
      <c r="W6" s="86">
        <f t="shared" si="1"/>
        <v>42000</v>
      </c>
      <c r="X6" s="88">
        <f t="shared" si="2"/>
        <v>119000</v>
      </c>
      <c r="Y6" s="89" t="s">
        <v>517</v>
      </c>
      <c r="Z6" s="63" t="s">
        <v>518</v>
      </c>
      <c r="AA6" s="63" t="s">
        <v>519</v>
      </c>
      <c r="AB6" s="63" t="s">
        <v>519</v>
      </c>
      <c r="AC6" s="63" t="s">
        <v>520</v>
      </c>
      <c r="AD6" s="63" t="s">
        <v>521</v>
      </c>
      <c r="AE6" s="63" t="s">
        <v>524</v>
      </c>
    </row>
    <row r="7" spans="1:31" ht="25.5" customHeight="1">
      <c r="A7" s="63" t="s">
        <v>503</v>
      </c>
      <c r="B7" s="95" t="s">
        <v>26</v>
      </c>
      <c r="C7" s="95" t="s">
        <v>58</v>
      </c>
      <c r="D7" s="276" t="s">
        <v>885</v>
      </c>
      <c r="E7" s="83" t="s">
        <v>525</v>
      </c>
      <c r="F7" s="43">
        <v>1</v>
      </c>
      <c r="G7" s="47">
        <v>3500</v>
      </c>
      <c r="H7" s="47" t="s">
        <v>90</v>
      </c>
      <c r="I7" s="99">
        <f t="shared" si="3"/>
        <v>3500</v>
      </c>
      <c r="J7" s="85">
        <v>10</v>
      </c>
      <c r="K7" s="86">
        <f t="shared" si="4"/>
        <v>35000</v>
      </c>
      <c r="L7" s="155">
        <f>K7/4</f>
        <v>8750</v>
      </c>
      <c r="M7" s="291">
        <v>0</v>
      </c>
      <c r="N7" s="155">
        <f>K7/4</f>
        <v>8750</v>
      </c>
      <c r="O7" s="291">
        <v>0</v>
      </c>
      <c r="P7" s="155">
        <f>K7/4</f>
        <v>8750</v>
      </c>
      <c r="Q7" s="291">
        <v>0</v>
      </c>
      <c r="R7" s="155">
        <f>K7/4</f>
        <v>8750</v>
      </c>
      <c r="S7" s="400">
        <f>SUMIF(Hoja1!B:B,'Budget YR2-4 DC+Hm'!D:D,Hoja1!G:G)</f>
        <v>8191.61</v>
      </c>
      <c r="T7" s="87">
        <v>12</v>
      </c>
      <c r="U7" s="84">
        <f t="shared" si="0"/>
        <v>42000</v>
      </c>
      <c r="V7" s="85">
        <v>12</v>
      </c>
      <c r="W7" s="86">
        <f t="shared" si="1"/>
        <v>42000</v>
      </c>
      <c r="X7" s="88">
        <f t="shared" si="2"/>
        <v>119000</v>
      </c>
      <c r="Y7" s="89" t="s">
        <v>517</v>
      </c>
      <c r="Z7" s="63" t="s">
        <v>518</v>
      </c>
      <c r="AA7" s="63" t="s">
        <v>519</v>
      </c>
      <c r="AB7" s="63" t="s">
        <v>519</v>
      </c>
      <c r="AC7" s="63" t="s">
        <v>520</v>
      </c>
      <c r="AD7" s="63" t="s">
        <v>521</v>
      </c>
      <c r="AE7" s="63" t="s">
        <v>526</v>
      </c>
    </row>
    <row r="8" spans="1:31" ht="18" customHeight="1">
      <c r="A8" s="63" t="s">
        <v>503</v>
      </c>
      <c r="B8" s="95" t="s">
        <v>26</v>
      </c>
      <c r="C8" s="95" t="s">
        <v>59</v>
      </c>
      <c r="D8" s="276" t="s">
        <v>884</v>
      </c>
      <c r="E8" s="83" t="s">
        <v>133</v>
      </c>
      <c r="F8" s="43">
        <v>1</v>
      </c>
      <c r="G8" s="47">
        <v>1075</v>
      </c>
      <c r="H8" s="47" t="s">
        <v>90</v>
      </c>
      <c r="I8" s="99">
        <f t="shared" si="3"/>
        <v>1075</v>
      </c>
      <c r="J8" s="85">
        <v>10</v>
      </c>
      <c r="K8" s="86">
        <f t="shared" si="4"/>
        <v>10750</v>
      </c>
      <c r="L8" s="155">
        <f>K8/4</f>
        <v>2687.5</v>
      </c>
      <c r="M8" s="291">
        <v>2859.33</v>
      </c>
      <c r="N8" s="155">
        <f>K8/4</f>
        <v>2687.5</v>
      </c>
      <c r="O8" s="291">
        <v>8215.36</v>
      </c>
      <c r="P8" s="155">
        <f>K8/4</f>
        <v>2687.5</v>
      </c>
      <c r="Q8" s="291">
        <v>7747.09</v>
      </c>
      <c r="R8" s="155">
        <f>K8/4</f>
        <v>2687.5</v>
      </c>
      <c r="S8" s="400">
        <f>SUMIF(Hoja1!B:B,'Budget YR2-4 DC+Hm'!D:D,Hoja1!G:G)</f>
        <v>9426.470000000001</v>
      </c>
      <c r="T8" s="87">
        <v>12</v>
      </c>
      <c r="U8" s="84">
        <f t="shared" si="0"/>
        <v>12900</v>
      </c>
      <c r="V8" s="85">
        <v>12</v>
      </c>
      <c r="W8" s="86">
        <f t="shared" si="1"/>
        <v>12900</v>
      </c>
      <c r="X8" s="88">
        <f t="shared" si="2"/>
        <v>36550</v>
      </c>
      <c r="Y8" s="89" t="s">
        <v>527</v>
      </c>
      <c r="Z8" s="63" t="s">
        <v>518</v>
      </c>
      <c r="AA8" s="63" t="s">
        <v>519</v>
      </c>
      <c r="AB8" s="63" t="s">
        <v>519</v>
      </c>
      <c r="AC8" s="63" t="s">
        <v>520</v>
      </c>
      <c r="AD8" s="63" t="s">
        <v>521</v>
      </c>
      <c r="AE8" s="63" t="s">
        <v>520</v>
      </c>
    </row>
    <row r="9" spans="1:31" ht="19.5" customHeight="1">
      <c r="A9" s="63" t="s">
        <v>503</v>
      </c>
      <c r="B9" s="95" t="s">
        <v>26</v>
      </c>
      <c r="C9" s="95" t="s">
        <v>59</v>
      </c>
      <c r="D9" s="276" t="s">
        <v>886</v>
      </c>
      <c r="E9" s="83" t="s">
        <v>528</v>
      </c>
      <c r="F9" s="43">
        <v>1</v>
      </c>
      <c r="G9" s="47">
        <v>950</v>
      </c>
      <c r="H9" s="47" t="s">
        <v>90</v>
      </c>
      <c r="I9" s="99">
        <f t="shared" si="3"/>
        <v>950</v>
      </c>
      <c r="J9" s="85">
        <v>12</v>
      </c>
      <c r="K9" s="86">
        <f t="shared" si="4"/>
        <v>11400</v>
      </c>
      <c r="L9" s="155">
        <f>K9/4</f>
        <v>2850</v>
      </c>
      <c r="M9" s="291">
        <v>2277.54</v>
      </c>
      <c r="N9" s="155">
        <f>K9/4</f>
        <v>2850</v>
      </c>
      <c r="O9" s="291">
        <v>2691.91</v>
      </c>
      <c r="P9" s="155">
        <f>K9/4</f>
        <v>2850</v>
      </c>
      <c r="Q9" s="291">
        <v>9377.67</v>
      </c>
      <c r="R9" s="155">
        <f>K9/4</f>
        <v>2850</v>
      </c>
      <c r="S9" s="400">
        <f>SUMIF(Hoja1!B:B,'Budget YR2-4 DC+Hm'!D:D,Hoja1!G:G)</f>
        <v>6400</v>
      </c>
      <c r="T9" s="87">
        <v>12</v>
      </c>
      <c r="U9" s="84">
        <f t="shared" si="0"/>
        <v>11400</v>
      </c>
      <c r="V9" s="85">
        <v>12</v>
      </c>
      <c r="W9" s="86">
        <f t="shared" si="1"/>
        <v>11400</v>
      </c>
      <c r="X9" s="88">
        <f t="shared" si="2"/>
        <v>34200</v>
      </c>
      <c r="Y9" s="90" t="s">
        <v>529</v>
      </c>
      <c r="Z9" s="63" t="s">
        <v>518</v>
      </c>
      <c r="AA9" s="63" t="s">
        <v>519</v>
      </c>
      <c r="AB9" s="63" t="s">
        <v>519</v>
      </c>
      <c r="AC9" s="63" t="s">
        <v>520</v>
      </c>
      <c r="AD9" s="63" t="s">
        <v>521</v>
      </c>
      <c r="AE9" s="63" t="s">
        <v>520</v>
      </c>
    </row>
    <row r="10" spans="1:31" s="95" customFormat="1" ht="25.5" customHeight="1">
      <c r="A10" s="63" t="s">
        <v>503</v>
      </c>
      <c r="B10" s="95" t="s">
        <v>26</v>
      </c>
      <c r="C10" s="95" t="s">
        <v>59</v>
      </c>
      <c r="D10" s="276" t="s">
        <v>883</v>
      </c>
      <c r="E10" s="83" t="s">
        <v>530</v>
      </c>
      <c r="F10" s="91">
        <v>1</v>
      </c>
      <c r="G10" s="92">
        <v>525</v>
      </c>
      <c r="H10" s="92" t="s">
        <v>90</v>
      </c>
      <c r="I10" s="99">
        <f t="shared" si="3"/>
        <v>525</v>
      </c>
      <c r="J10" s="93">
        <v>6</v>
      </c>
      <c r="K10" s="86">
        <f t="shared" si="4"/>
        <v>3150</v>
      </c>
      <c r="L10" s="155">
        <f>K10/3</f>
        <v>1050</v>
      </c>
      <c r="M10" s="291">
        <v>1791.25</v>
      </c>
      <c r="N10" s="155">
        <f>K10/3</f>
        <v>1050</v>
      </c>
      <c r="O10" s="291">
        <v>1341.02</v>
      </c>
      <c r="P10" s="155">
        <f>K10/3</f>
        <v>1050</v>
      </c>
      <c r="Q10" s="291">
        <v>4316.22</v>
      </c>
      <c r="R10" s="155"/>
      <c r="S10" s="400">
        <f>SUMIF(Hoja1!B:B,'Budget YR2-4 DC+Hm'!D:D,Hoja1!G:G)</f>
        <v>3737.8500000000004</v>
      </c>
      <c r="T10" s="94">
        <v>6</v>
      </c>
      <c r="U10" s="84">
        <f t="shared" si="0"/>
        <v>3150</v>
      </c>
      <c r="V10" s="93">
        <v>6</v>
      </c>
      <c r="W10" s="86">
        <f t="shared" si="1"/>
        <v>3150</v>
      </c>
      <c r="X10" s="88">
        <f t="shared" si="2"/>
        <v>9450</v>
      </c>
      <c r="Y10" s="90" t="s">
        <v>531</v>
      </c>
      <c r="Z10" s="63" t="s">
        <v>518</v>
      </c>
      <c r="AA10" s="63" t="s">
        <v>519</v>
      </c>
      <c r="AB10" s="63" t="s">
        <v>519</v>
      </c>
      <c r="AC10" s="63" t="s">
        <v>520</v>
      </c>
      <c r="AD10" s="63" t="s">
        <v>521</v>
      </c>
      <c r="AE10" s="63" t="s">
        <v>520</v>
      </c>
    </row>
    <row r="11" spans="1:31" ht="25.5" customHeight="1">
      <c r="A11" s="63" t="s">
        <v>503</v>
      </c>
      <c r="B11" s="95" t="s">
        <v>26</v>
      </c>
      <c r="C11" s="95" t="s">
        <v>59</v>
      </c>
      <c r="D11" s="276" t="s">
        <v>887</v>
      </c>
      <c r="E11" s="83" t="s">
        <v>532</v>
      </c>
      <c r="F11" s="91">
        <v>1</v>
      </c>
      <c r="G11" s="92">
        <v>3500</v>
      </c>
      <c r="H11" s="92" t="s">
        <v>90</v>
      </c>
      <c r="I11" s="99">
        <f t="shared" si="3"/>
        <v>3500</v>
      </c>
      <c r="J11" s="85">
        <v>10</v>
      </c>
      <c r="K11" s="86">
        <f t="shared" si="4"/>
        <v>35000</v>
      </c>
      <c r="L11" s="155">
        <f aca="true" t="shared" si="5" ref="L11:L41">K11/4</f>
        <v>8750</v>
      </c>
      <c r="M11" s="291">
        <v>0</v>
      </c>
      <c r="N11" s="155">
        <f aca="true" t="shared" si="6" ref="N11:N41">K11/4</f>
        <v>8750</v>
      </c>
      <c r="O11" s="291">
        <v>10500</v>
      </c>
      <c r="P11" s="155">
        <f aca="true" t="shared" si="7" ref="P11:P41">K11/4</f>
        <v>8750</v>
      </c>
      <c r="Q11" s="291">
        <v>10923.65</v>
      </c>
      <c r="R11" s="155">
        <f aca="true" t="shared" si="8" ref="R11:R41">K11/4</f>
        <v>8750</v>
      </c>
      <c r="S11" s="400">
        <f>SUMIF(Hoja1!B:B,'Budget YR2-4 DC+Hm'!D:D,Hoja1!G:G)</f>
        <v>5958.259999999999</v>
      </c>
      <c r="T11" s="94">
        <v>12</v>
      </c>
      <c r="U11" s="84">
        <f t="shared" si="0"/>
        <v>42000</v>
      </c>
      <c r="V11" s="93">
        <v>12</v>
      </c>
      <c r="W11" s="86">
        <f t="shared" si="1"/>
        <v>42000</v>
      </c>
      <c r="X11" s="88">
        <f t="shared" si="2"/>
        <v>119000</v>
      </c>
      <c r="Y11" s="90"/>
      <c r="Z11" s="63" t="s">
        <v>518</v>
      </c>
      <c r="AA11" s="63" t="s">
        <v>519</v>
      </c>
      <c r="AB11" s="63" t="s">
        <v>519</v>
      </c>
      <c r="AC11" s="63" t="s">
        <v>520</v>
      </c>
      <c r="AD11" s="63" t="s">
        <v>521</v>
      </c>
      <c r="AE11" s="63" t="s">
        <v>520</v>
      </c>
    </row>
    <row r="12" spans="1:32" s="98" customFormat="1" ht="25.5" customHeight="1">
      <c r="A12" s="63" t="s">
        <v>503</v>
      </c>
      <c r="B12" s="95" t="s">
        <v>26</v>
      </c>
      <c r="C12" s="95" t="s">
        <v>853</v>
      </c>
      <c r="D12" s="276" t="s">
        <v>890</v>
      </c>
      <c r="E12" s="83" t="s">
        <v>533</v>
      </c>
      <c r="F12" s="96">
        <v>0.3333333333333333</v>
      </c>
      <c r="G12" s="92">
        <v>3500</v>
      </c>
      <c r="H12" s="92" t="s">
        <v>90</v>
      </c>
      <c r="I12" s="99">
        <f t="shared" si="3"/>
        <v>1166.6666666666665</v>
      </c>
      <c r="J12" s="85">
        <v>10</v>
      </c>
      <c r="K12" s="86">
        <f t="shared" si="4"/>
        <v>11666.666666666664</v>
      </c>
      <c r="L12" s="155">
        <f t="shared" si="5"/>
        <v>2916.666666666666</v>
      </c>
      <c r="M12" s="291">
        <v>0</v>
      </c>
      <c r="N12" s="155">
        <f t="shared" si="6"/>
        <v>2916.666666666666</v>
      </c>
      <c r="O12" s="291">
        <v>0</v>
      </c>
      <c r="P12" s="155">
        <f t="shared" si="7"/>
        <v>2916.666666666666</v>
      </c>
      <c r="Q12" s="291">
        <v>0</v>
      </c>
      <c r="R12" s="155">
        <f t="shared" si="8"/>
        <v>2916.666666666666</v>
      </c>
      <c r="S12" s="400">
        <f>SUMIF(Hoja1!B:B,'Budget YR2-4 DC+Hm'!D:D,Hoja1!G:G)</f>
        <v>10491.56</v>
      </c>
      <c r="T12" s="94">
        <v>12</v>
      </c>
      <c r="U12" s="84">
        <f t="shared" si="0"/>
        <v>13999.999999999998</v>
      </c>
      <c r="V12" s="93">
        <v>12</v>
      </c>
      <c r="W12" s="86">
        <f t="shared" si="1"/>
        <v>13999.999999999998</v>
      </c>
      <c r="X12" s="88">
        <f t="shared" si="2"/>
        <v>39666.666666666664</v>
      </c>
      <c r="Y12" s="90" t="s">
        <v>534</v>
      </c>
      <c r="Z12" s="97">
        <v>4</v>
      </c>
      <c r="AA12" s="98" t="s">
        <v>535</v>
      </c>
      <c r="AB12" s="98" t="s">
        <v>519</v>
      </c>
      <c r="AC12" s="98" t="s">
        <v>536</v>
      </c>
      <c r="AD12" s="63" t="s">
        <v>521</v>
      </c>
      <c r="AE12" s="63" t="s">
        <v>522</v>
      </c>
      <c r="AF12" s="241" t="s">
        <v>522</v>
      </c>
    </row>
    <row r="13" spans="1:31" s="98" customFormat="1" ht="25.5" customHeight="1">
      <c r="A13" s="63" t="s">
        <v>503</v>
      </c>
      <c r="B13" s="95" t="s">
        <v>26</v>
      </c>
      <c r="C13" s="95" t="s">
        <v>853</v>
      </c>
      <c r="D13" s="276" t="s">
        <v>890</v>
      </c>
      <c r="E13" s="83" t="s">
        <v>537</v>
      </c>
      <c r="F13" s="96">
        <v>0.3333333333333333</v>
      </c>
      <c r="G13" s="92">
        <v>3500</v>
      </c>
      <c r="H13" s="92" t="s">
        <v>90</v>
      </c>
      <c r="I13" s="99">
        <f t="shared" si="3"/>
        <v>1166.6666666666665</v>
      </c>
      <c r="J13" s="85">
        <v>10</v>
      </c>
      <c r="K13" s="86">
        <f t="shared" si="4"/>
        <v>11666.666666666664</v>
      </c>
      <c r="L13" s="155">
        <f t="shared" si="5"/>
        <v>2916.666666666666</v>
      </c>
      <c r="M13" s="291">
        <v>0</v>
      </c>
      <c r="N13" s="155">
        <f t="shared" si="6"/>
        <v>2916.666666666666</v>
      </c>
      <c r="O13" s="291">
        <v>0</v>
      </c>
      <c r="P13" s="155">
        <f t="shared" si="7"/>
        <v>2916.666666666666</v>
      </c>
      <c r="Q13" s="291">
        <v>0</v>
      </c>
      <c r="R13" s="155">
        <f t="shared" si="8"/>
        <v>2916.666666666666</v>
      </c>
      <c r="S13" s="291">
        <v>0</v>
      </c>
      <c r="T13" s="94">
        <v>12</v>
      </c>
      <c r="U13" s="84">
        <f t="shared" si="0"/>
        <v>13999.999999999998</v>
      </c>
      <c r="V13" s="93">
        <v>12</v>
      </c>
      <c r="W13" s="86">
        <f t="shared" si="1"/>
        <v>13999.999999999998</v>
      </c>
      <c r="X13" s="88">
        <f t="shared" si="2"/>
        <v>39666.666666666664</v>
      </c>
      <c r="Y13" s="90" t="s">
        <v>534</v>
      </c>
      <c r="Z13" s="97">
        <v>4</v>
      </c>
      <c r="AA13" s="98" t="s">
        <v>535</v>
      </c>
      <c r="AB13" s="98" t="s">
        <v>519</v>
      </c>
      <c r="AC13" s="98" t="s">
        <v>536</v>
      </c>
      <c r="AD13" s="63" t="s">
        <v>521</v>
      </c>
      <c r="AE13" s="63" t="s">
        <v>524</v>
      </c>
    </row>
    <row r="14" spans="1:31" s="98" customFormat="1" ht="25.5" customHeight="1">
      <c r="A14" s="63" t="s">
        <v>503</v>
      </c>
      <c r="B14" s="95" t="s">
        <v>26</v>
      </c>
      <c r="C14" s="95" t="s">
        <v>853</v>
      </c>
      <c r="D14" s="276" t="s">
        <v>890</v>
      </c>
      <c r="E14" s="83" t="s">
        <v>538</v>
      </c>
      <c r="F14" s="96">
        <v>0.3333333333333333</v>
      </c>
      <c r="G14" s="92">
        <v>3500</v>
      </c>
      <c r="H14" s="92" t="s">
        <v>90</v>
      </c>
      <c r="I14" s="99">
        <f t="shared" si="3"/>
        <v>1166.6666666666665</v>
      </c>
      <c r="J14" s="85">
        <v>10</v>
      </c>
      <c r="K14" s="86">
        <f t="shared" si="4"/>
        <v>11666.666666666664</v>
      </c>
      <c r="L14" s="155">
        <f t="shared" si="5"/>
        <v>2916.666666666666</v>
      </c>
      <c r="M14" s="291">
        <v>0</v>
      </c>
      <c r="N14" s="155">
        <f t="shared" si="6"/>
        <v>2916.666666666666</v>
      </c>
      <c r="O14" s="291">
        <v>0</v>
      </c>
      <c r="P14" s="155">
        <f t="shared" si="7"/>
        <v>2916.666666666666</v>
      </c>
      <c r="Q14" s="291">
        <v>0</v>
      </c>
      <c r="R14" s="155">
        <f t="shared" si="8"/>
        <v>2916.666666666666</v>
      </c>
      <c r="S14" s="291">
        <v>0</v>
      </c>
      <c r="T14" s="94">
        <v>12</v>
      </c>
      <c r="U14" s="84">
        <f t="shared" si="0"/>
        <v>13999.999999999998</v>
      </c>
      <c r="V14" s="93">
        <v>12</v>
      </c>
      <c r="W14" s="86">
        <f t="shared" si="1"/>
        <v>13999.999999999998</v>
      </c>
      <c r="X14" s="88">
        <f t="shared" si="2"/>
        <v>39666.666666666664</v>
      </c>
      <c r="Y14" s="90" t="s">
        <v>534</v>
      </c>
      <c r="Z14" s="97">
        <v>4</v>
      </c>
      <c r="AA14" s="98" t="s">
        <v>535</v>
      </c>
      <c r="AB14" s="98" t="s">
        <v>519</v>
      </c>
      <c r="AC14" s="98" t="s">
        <v>536</v>
      </c>
      <c r="AD14" s="63" t="s">
        <v>521</v>
      </c>
      <c r="AE14" s="63" t="s">
        <v>526</v>
      </c>
    </row>
    <row r="15" spans="1:32" s="98" customFormat="1" ht="25.5" customHeight="1">
      <c r="A15" s="63" t="s">
        <v>503</v>
      </c>
      <c r="B15" s="95" t="s">
        <v>26</v>
      </c>
      <c r="C15" s="95" t="s">
        <v>46</v>
      </c>
      <c r="D15" s="300" t="s">
        <v>889</v>
      </c>
      <c r="E15" s="83" t="s">
        <v>539</v>
      </c>
      <c r="F15" s="96">
        <v>0.3333333333333333</v>
      </c>
      <c r="G15" s="92">
        <v>3500</v>
      </c>
      <c r="H15" s="92" t="s">
        <v>90</v>
      </c>
      <c r="I15" s="99">
        <f t="shared" si="3"/>
        <v>1166.6666666666665</v>
      </c>
      <c r="J15" s="85">
        <v>10</v>
      </c>
      <c r="K15" s="86">
        <f t="shared" si="4"/>
        <v>11666.666666666664</v>
      </c>
      <c r="L15" s="155">
        <f t="shared" si="5"/>
        <v>2916.666666666666</v>
      </c>
      <c r="M15" s="291">
        <v>0</v>
      </c>
      <c r="N15" s="155">
        <f t="shared" si="6"/>
        <v>2916.666666666666</v>
      </c>
      <c r="O15" s="291">
        <v>0</v>
      </c>
      <c r="P15" s="155">
        <f t="shared" si="7"/>
        <v>2916.666666666666</v>
      </c>
      <c r="Q15" s="291">
        <v>0</v>
      </c>
      <c r="R15" s="155">
        <f t="shared" si="8"/>
        <v>2916.666666666666</v>
      </c>
      <c r="S15" s="291">
        <f>SUMIF(Hoja1!B:B,'Budget YR2-4 DC+Hm'!D:D,Hoja1!G:G)</f>
        <v>0</v>
      </c>
      <c r="T15" s="94">
        <v>12</v>
      </c>
      <c r="U15" s="84">
        <f t="shared" si="0"/>
        <v>13999.999999999998</v>
      </c>
      <c r="V15" s="93">
        <v>12</v>
      </c>
      <c r="W15" s="86">
        <f t="shared" si="1"/>
        <v>13999.999999999998</v>
      </c>
      <c r="X15" s="88">
        <f t="shared" si="2"/>
        <v>39666.666666666664</v>
      </c>
      <c r="Y15" s="90"/>
      <c r="Z15" s="63" t="s">
        <v>518</v>
      </c>
      <c r="AA15" s="63" t="s">
        <v>519</v>
      </c>
      <c r="AB15" s="63" t="s">
        <v>519</v>
      </c>
      <c r="AC15" s="63" t="s">
        <v>540</v>
      </c>
      <c r="AD15" s="63" t="s">
        <v>521</v>
      </c>
      <c r="AE15" s="63" t="s">
        <v>522</v>
      </c>
      <c r="AF15" s="241" t="s">
        <v>522</v>
      </c>
    </row>
    <row r="16" spans="1:31" s="98" customFormat="1" ht="25.5" customHeight="1">
      <c r="A16" s="63" t="s">
        <v>503</v>
      </c>
      <c r="B16" s="95" t="s">
        <v>26</v>
      </c>
      <c r="C16" s="95" t="s">
        <v>46</v>
      </c>
      <c r="D16" s="300" t="s">
        <v>889</v>
      </c>
      <c r="E16" s="83" t="s">
        <v>541</v>
      </c>
      <c r="F16" s="96">
        <v>0.3333333333333333</v>
      </c>
      <c r="G16" s="92">
        <v>3500</v>
      </c>
      <c r="H16" s="92" t="s">
        <v>90</v>
      </c>
      <c r="I16" s="99">
        <f t="shared" si="3"/>
        <v>1166.6666666666665</v>
      </c>
      <c r="J16" s="85">
        <v>10</v>
      </c>
      <c r="K16" s="86">
        <f t="shared" si="4"/>
        <v>11666.666666666664</v>
      </c>
      <c r="L16" s="155">
        <f t="shared" si="5"/>
        <v>2916.666666666666</v>
      </c>
      <c r="M16" s="291">
        <v>0</v>
      </c>
      <c r="N16" s="155">
        <f t="shared" si="6"/>
        <v>2916.666666666666</v>
      </c>
      <c r="O16" s="291">
        <v>0</v>
      </c>
      <c r="P16" s="155">
        <f t="shared" si="7"/>
        <v>2916.666666666666</v>
      </c>
      <c r="Q16" s="291">
        <v>0</v>
      </c>
      <c r="R16" s="155">
        <f t="shared" si="8"/>
        <v>2916.666666666666</v>
      </c>
      <c r="S16" s="291">
        <f>SUMIF(Hoja1!B:B,'Budget YR2-4 DC+Hm'!D:D,Hoja1!G:G)</f>
        <v>0</v>
      </c>
      <c r="T16" s="94">
        <v>12</v>
      </c>
      <c r="U16" s="84">
        <f t="shared" si="0"/>
        <v>13999.999999999998</v>
      </c>
      <c r="V16" s="93">
        <v>12</v>
      </c>
      <c r="W16" s="86">
        <f t="shared" si="1"/>
        <v>13999.999999999998</v>
      </c>
      <c r="X16" s="88">
        <f t="shared" si="2"/>
        <v>39666.666666666664</v>
      </c>
      <c r="Y16" s="90"/>
      <c r="Z16" s="63" t="s">
        <v>518</v>
      </c>
      <c r="AA16" s="63" t="s">
        <v>519</v>
      </c>
      <c r="AB16" s="63" t="s">
        <v>519</v>
      </c>
      <c r="AC16" s="63" t="s">
        <v>540</v>
      </c>
      <c r="AD16" s="63" t="s">
        <v>521</v>
      </c>
      <c r="AE16" s="63" t="s">
        <v>524</v>
      </c>
    </row>
    <row r="17" spans="1:31" s="98" customFormat="1" ht="25.5" customHeight="1">
      <c r="A17" s="63" t="s">
        <v>503</v>
      </c>
      <c r="B17" s="95" t="s">
        <v>26</v>
      </c>
      <c r="C17" s="95" t="s">
        <v>46</v>
      </c>
      <c r="D17" s="300" t="s">
        <v>889</v>
      </c>
      <c r="E17" s="83" t="s">
        <v>542</v>
      </c>
      <c r="F17" s="96">
        <v>0.3333333333333333</v>
      </c>
      <c r="G17" s="92">
        <v>3500</v>
      </c>
      <c r="H17" s="92" t="s">
        <v>90</v>
      </c>
      <c r="I17" s="99">
        <f t="shared" si="3"/>
        <v>1166.6666666666665</v>
      </c>
      <c r="J17" s="85">
        <v>10</v>
      </c>
      <c r="K17" s="86">
        <f t="shared" si="4"/>
        <v>11666.666666666664</v>
      </c>
      <c r="L17" s="155">
        <f t="shared" si="5"/>
        <v>2916.666666666666</v>
      </c>
      <c r="M17" s="291">
        <v>0</v>
      </c>
      <c r="N17" s="155">
        <f t="shared" si="6"/>
        <v>2916.666666666666</v>
      </c>
      <c r="O17" s="291">
        <v>0</v>
      </c>
      <c r="P17" s="155">
        <f t="shared" si="7"/>
        <v>2916.666666666666</v>
      </c>
      <c r="Q17" s="291">
        <v>0</v>
      </c>
      <c r="R17" s="155">
        <f t="shared" si="8"/>
        <v>2916.666666666666</v>
      </c>
      <c r="S17" s="291">
        <f>SUMIF(Hoja1!B:B,'Budget YR2-4 DC+Hm'!D:D,Hoja1!G:G)</f>
        <v>0</v>
      </c>
      <c r="T17" s="94">
        <v>12</v>
      </c>
      <c r="U17" s="84">
        <f t="shared" si="0"/>
        <v>13999.999999999998</v>
      </c>
      <c r="V17" s="93">
        <v>12</v>
      </c>
      <c r="W17" s="86">
        <f t="shared" si="1"/>
        <v>13999.999999999998</v>
      </c>
      <c r="X17" s="88">
        <f t="shared" si="2"/>
        <v>39666.666666666664</v>
      </c>
      <c r="Y17" s="90"/>
      <c r="Z17" s="63" t="s">
        <v>518</v>
      </c>
      <c r="AA17" s="63" t="s">
        <v>519</v>
      </c>
      <c r="AB17" s="63" t="s">
        <v>519</v>
      </c>
      <c r="AC17" s="63" t="s">
        <v>540</v>
      </c>
      <c r="AD17" s="63" t="s">
        <v>521</v>
      </c>
      <c r="AE17" s="63" t="s">
        <v>526</v>
      </c>
    </row>
    <row r="18" spans="1:32" ht="25.5" customHeight="1">
      <c r="A18" s="63" t="s">
        <v>503</v>
      </c>
      <c r="B18" s="95" t="s">
        <v>26</v>
      </c>
      <c r="C18" s="95" t="s">
        <v>58</v>
      </c>
      <c r="D18" s="276" t="s">
        <v>888</v>
      </c>
      <c r="E18" s="83" t="s">
        <v>543</v>
      </c>
      <c r="F18" s="43">
        <v>1</v>
      </c>
      <c r="G18" s="47">
        <v>1800</v>
      </c>
      <c r="H18" s="47" t="s">
        <v>90</v>
      </c>
      <c r="I18" s="99">
        <f t="shared" si="3"/>
        <v>1800</v>
      </c>
      <c r="J18" s="85">
        <v>11</v>
      </c>
      <c r="K18" s="86">
        <f t="shared" si="4"/>
        <v>19800</v>
      </c>
      <c r="L18" s="155">
        <f t="shared" si="5"/>
        <v>4950</v>
      </c>
      <c r="M18" s="291">
        <v>5581</v>
      </c>
      <c r="N18" s="155">
        <f t="shared" si="6"/>
        <v>4950</v>
      </c>
      <c r="O18" s="291">
        <v>4363.620000000001</v>
      </c>
      <c r="P18" s="155">
        <f t="shared" si="7"/>
        <v>4950</v>
      </c>
      <c r="Q18" s="291">
        <v>4557.76</v>
      </c>
      <c r="R18" s="155">
        <f t="shared" si="8"/>
        <v>4950</v>
      </c>
      <c r="S18" s="291">
        <f>SUMIF(Hoja1!B:B,'Budget YR2-4 DC+Hm'!D:D,Hoja1!G:G)</f>
        <v>4354.8</v>
      </c>
      <c r="T18" s="87">
        <v>12</v>
      </c>
      <c r="U18" s="84">
        <f t="shared" si="0"/>
        <v>21600</v>
      </c>
      <c r="V18" s="85">
        <v>12</v>
      </c>
      <c r="W18" s="86">
        <f t="shared" si="1"/>
        <v>21600</v>
      </c>
      <c r="X18" s="88">
        <f t="shared" si="2"/>
        <v>63000</v>
      </c>
      <c r="Y18" s="90" t="s">
        <v>544</v>
      </c>
      <c r="Z18" s="63">
        <v>3</v>
      </c>
      <c r="AA18" s="63" t="s">
        <v>545</v>
      </c>
      <c r="AB18" s="63" t="s">
        <v>519</v>
      </c>
      <c r="AC18" s="63" t="s">
        <v>546</v>
      </c>
      <c r="AD18" s="63" t="s">
        <v>521</v>
      </c>
      <c r="AE18" s="63" t="s">
        <v>522</v>
      </c>
      <c r="AF18" s="241" t="s">
        <v>522</v>
      </c>
    </row>
    <row r="19" spans="1:31" ht="25.5" customHeight="1">
      <c r="A19" s="63" t="s">
        <v>503</v>
      </c>
      <c r="B19" s="95" t="s">
        <v>26</v>
      </c>
      <c r="C19" s="95" t="s">
        <v>58</v>
      </c>
      <c r="D19" s="276" t="s">
        <v>891</v>
      </c>
      <c r="E19" s="83" t="s">
        <v>547</v>
      </c>
      <c r="F19" s="43">
        <v>1</v>
      </c>
      <c r="G19" s="47">
        <v>1800</v>
      </c>
      <c r="H19" s="47" t="s">
        <v>90</v>
      </c>
      <c r="I19" s="99">
        <f t="shared" si="3"/>
        <v>1800</v>
      </c>
      <c r="J19" s="85">
        <v>11</v>
      </c>
      <c r="K19" s="86">
        <f t="shared" si="4"/>
        <v>19800</v>
      </c>
      <c r="L19" s="155">
        <f t="shared" si="5"/>
        <v>4950</v>
      </c>
      <c r="M19" s="291">
        <v>4137</v>
      </c>
      <c r="N19" s="155">
        <f t="shared" si="6"/>
        <v>4950</v>
      </c>
      <c r="O19" s="291">
        <v>3447.91</v>
      </c>
      <c r="P19" s="155">
        <f t="shared" si="7"/>
        <v>4950</v>
      </c>
      <c r="Q19" s="291">
        <v>3644.3100000000004</v>
      </c>
      <c r="R19" s="155">
        <f t="shared" si="8"/>
        <v>4950</v>
      </c>
      <c r="S19" s="291">
        <f>SUMIF(Hoja1!B:B,'Budget YR2-4 DC+Hm'!D:D,Hoja1!G:G)</f>
        <v>4448.860000000001</v>
      </c>
      <c r="T19" s="87">
        <v>12</v>
      </c>
      <c r="U19" s="84">
        <f t="shared" si="0"/>
        <v>21600</v>
      </c>
      <c r="V19" s="85">
        <v>12</v>
      </c>
      <c r="W19" s="86">
        <f t="shared" si="1"/>
        <v>21600</v>
      </c>
      <c r="X19" s="88">
        <f t="shared" si="2"/>
        <v>63000</v>
      </c>
      <c r="Y19" s="90" t="s">
        <v>544</v>
      </c>
      <c r="Z19" s="63">
        <v>3</v>
      </c>
      <c r="AA19" s="63" t="s">
        <v>545</v>
      </c>
      <c r="AB19" s="63" t="s">
        <v>519</v>
      </c>
      <c r="AC19" s="63" t="s">
        <v>546</v>
      </c>
      <c r="AD19" s="63" t="s">
        <v>521</v>
      </c>
      <c r="AE19" s="63" t="s">
        <v>524</v>
      </c>
    </row>
    <row r="20" spans="1:31" ht="25.5" customHeight="1">
      <c r="A20" s="63" t="s">
        <v>503</v>
      </c>
      <c r="B20" s="95" t="s">
        <v>26</v>
      </c>
      <c r="C20" s="95" t="s">
        <v>58</v>
      </c>
      <c r="D20" s="276" t="s">
        <v>892</v>
      </c>
      <c r="E20" s="83" t="s">
        <v>548</v>
      </c>
      <c r="F20" s="43">
        <v>1</v>
      </c>
      <c r="G20" s="47">
        <v>1800</v>
      </c>
      <c r="H20" s="47" t="s">
        <v>90</v>
      </c>
      <c r="I20" s="99">
        <f t="shared" si="3"/>
        <v>1800</v>
      </c>
      <c r="J20" s="85">
        <v>11</v>
      </c>
      <c r="K20" s="86">
        <f t="shared" si="4"/>
        <v>19800</v>
      </c>
      <c r="L20" s="155">
        <f t="shared" si="5"/>
        <v>4950</v>
      </c>
      <c r="M20" s="291">
        <v>2711</v>
      </c>
      <c r="N20" s="155">
        <f t="shared" si="6"/>
        <v>4950</v>
      </c>
      <c r="O20" s="291">
        <v>2828.37</v>
      </c>
      <c r="P20" s="155">
        <f t="shared" si="7"/>
        <v>4950</v>
      </c>
      <c r="Q20" s="291">
        <v>2841.96</v>
      </c>
      <c r="R20" s="155">
        <f t="shared" si="8"/>
        <v>4950</v>
      </c>
      <c r="S20" s="291">
        <f>SUMIF(Hoja1!B:B,'Budget YR2-4 DC+Hm'!D:D,Hoja1!G:G)</f>
        <v>2712.7799999999997</v>
      </c>
      <c r="T20" s="87">
        <v>12</v>
      </c>
      <c r="U20" s="84">
        <f t="shared" si="0"/>
        <v>21600</v>
      </c>
      <c r="V20" s="85">
        <v>12</v>
      </c>
      <c r="W20" s="86">
        <f t="shared" si="1"/>
        <v>21600</v>
      </c>
      <c r="X20" s="88">
        <f t="shared" si="2"/>
        <v>63000</v>
      </c>
      <c r="Y20" s="90" t="s">
        <v>544</v>
      </c>
      <c r="Z20" s="63">
        <v>3</v>
      </c>
      <c r="AA20" s="63" t="s">
        <v>545</v>
      </c>
      <c r="AB20" s="63" t="s">
        <v>519</v>
      </c>
      <c r="AC20" s="63" t="s">
        <v>546</v>
      </c>
      <c r="AD20" s="63" t="s">
        <v>521</v>
      </c>
      <c r="AE20" s="63" t="s">
        <v>526</v>
      </c>
    </row>
    <row r="21" spans="1:31" ht="25.5" customHeight="1">
      <c r="A21" s="63" t="s">
        <v>503</v>
      </c>
      <c r="B21" s="95" t="s">
        <v>26</v>
      </c>
      <c r="C21" s="95" t="s">
        <v>46</v>
      </c>
      <c r="D21" s="276" t="s">
        <v>916</v>
      </c>
      <c r="E21" s="83" t="s">
        <v>549</v>
      </c>
      <c r="F21" s="43">
        <v>3</v>
      </c>
      <c r="G21" s="47">
        <v>600</v>
      </c>
      <c r="H21" s="47" t="s">
        <v>90</v>
      </c>
      <c r="I21" s="99">
        <f t="shared" si="3"/>
        <v>1800</v>
      </c>
      <c r="J21" s="85">
        <v>12</v>
      </c>
      <c r="K21" s="86">
        <f t="shared" si="4"/>
        <v>21600</v>
      </c>
      <c r="L21" s="155">
        <f t="shared" si="5"/>
        <v>5400</v>
      </c>
      <c r="M21" s="291">
        <v>0</v>
      </c>
      <c r="N21" s="155">
        <f t="shared" si="6"/>
        <v>5400</v>
      </c>
      <c r="O21" s="291">
        <v>2665.3100000000004</v>
      </c>
      <c r="P21" s="155">
        <f t="shared" si="7"/>
        <v>5400</v>
      </c>
      <c r="Q21" s="291">
        <v>4059.9700000000003</v>
      </c>
      <c r="R21" s="155">
        <f t="shared" si="8"/>
        <v>5400</v>
      </c>
      <c r="S21" s="291">
        <f>Hoja1!G3+Hoja1!G109+Hoja1!G155</f>
        <v>5057.76</v>
      </c>
      <c r="T21" s="87">
        <v>12</v>
      </c>
      <c r="U21" s="84">
        <f t="shared" si="0"/>
        <v>21600</v>
      </c>
      <c r="V21" s="85">
        <v>12</v>
      </c>
      <c r="W21" s="86">
        <f t="shared" si="1"/>
        <v>21600</v>
      </c>
      <c r="X21" s="88">
        <f t="shared" si="2"/>
        <v>64800</v>
      </c>
      <c r="Y21" s="90"/>
      <c r="Z21" s="63" t="s">
        <v>518</v>
      </c>
      <c r="AA21" s="63" t="s">
        <v>519</v>
      </c>
      <c r="AB21" s="63" t="s">
        <v>519</v>
      </c>
      <c r="AC21" s="63" t="s">
        <v>540</v>
      </c>
      <c r="AD21" s="63" t="s">
        <v>521</v>
      </c>
      <c r="AE21" s="63" t="s">
        <v>550</v>
      </c>
    </row>
    <row r="22" spans="1:32" s="95" customFormat="1" ht="22.5" customHeight="1">
      <c r="A22" s="63" t="s">
        <v>503</v>
      </c>
      <c r="B22" s="95" t="s">
        <v>26</v>
      </c>
      <c r="C22" s="95" t="s">
        <v>59</v>
      </c>
      <c r="D22" s="276" t="s">
        <v>897</v>
      </c>
      <c r="E22" s="83" t="s">
        <v>551</v>
      </c>
      <c r="F22" s="96">
        <v>0.3333333333333333</v>
      </c>
      <c r="G22" s="49">
        <v>2281</v>
      </c>
      <c r="H22" s="49" t="s">
        <v>90</v>
      </c>
      <c r="I22" s="99">
        <f t="shared" si="3"/>
        <v>760.3333333333333</v>
      </c>
      <c r="J22" s="85">
        <v>12</v>
      </c>
      <c r="K22" s="86">
        <f t="shared" si="4"/>
        <v>9124</v>
      </c>
      <c r="L22" s="155">
        <f t="shared" si="5"/>
        <v>2281</v>
      </c>
      <c r="M22" s="291">
        <v>1851.72</v>
      </c>
      <c r="N22" s="155">
        <f t="shared" si="6"/>
        <v>2281</v>
      </c>
      <c r="O22" s="291">
        <v>891.15</v>
      </c>
      <c r="P22" s="155">
        <f t="shared" si="7"/>
        <v>2281</v>
      </c>
      <c r="Q22" s="291">
        <v>3063.48</v>
      </c>
      <c r="R22" s="155">
        <f t="shared" si="8"/>
        <v>2281</v>
      </c>
      <c r="S22" s="291">
        <f>SUMIF(Hoja1!B:B,'Budget YR2-4 DC+Hm'!D:D,Hoja1!G:G)</f>
        <v>5392.629999999999</v>
      </c>
      <c r="T22" s="87">
        <v>12</v>
      </c>
      <c r="U22" s="84">
        <f t="shared" si="0"/>
        <v>9124</v>
      </c>
      <c r="V22" s="85">
        <v>12</v>
      </c>
      <c r="W22" s="86">
        <f t="shared" si="1"/>
        <v>9124</v>
      </c>
      <c r="X22" s="88">
        <f t="shared" si="2"/>
        <v>27372</v>
      </c>
      <c r="Y22" s="99" t="s">
        <v>552</v>
      </c>
      <c r="Z22" s="63" t="s">
        <v>518</v>
      </c>
      <c r="AA22" s="63" t="s">
        <v>519</v>
      </c>
      <c r="AB22" s="63" t="s">
        <v>519</v>
      </c>
      <c r="AC22" s="63" t="s">
        <v>520</v>
      </c>
      <c r="AD22" s="63" t="s">
        <v>521</v>
      </c>
      <c r="AE22" s="63" t="s">
        <v>522</v>
      </c>
      <c r="AF22" s="241" t="s">
        <v>522</v>
      </c>
    </row>
    <row r="23" spans="1:31" s="95" customFormat="1" ht="22.5" customHeight="1">
      <c r="A23" s="63" t="s">
        <v>503</v>
      </c>
      <c r="B23" s="95" t="s">
        <v>26</v>
      </c>
      <c r="C23" s="95" t="s">
        <v>59</v>
      </c>
      <c r="D23" s="276" t="s">
        <v>900</v>
      </c>
      <c r="E23" s="83" t="s">
        <v>553</v>
      </c>
      <c r="F23" s="96">
        <v>0.3333333333333333</v>
      </c>
      <c r="G23" s="49">
        <v>2281</v>
      </c>
      <c r="H23" s="49" t="s">
        <v>90</v>
      </c>
      <c r="I23" s="99">
        <f t="shared" si="3"/>
        <v>760.3333333333333</v>
      </c>
      <c r="J23" s="85">
        <v>12</v>
      </c>
      <c r="K23" s="86">
        <f t="shared" si="4"/>
        <v>9124</v>
      </c>
      <c r="L23" s="155">
        <f t="shared" si="5"/>
        <v>2281</v>
      </c>
      <c r="M23" s="291">
        <v>666.8100000000001</v>
      </c>
      <c r="N23" s="155">
        <f t="shared" si="6"/>
        <v>2281</v>
      </c>
      <c r="O23" s="291">
        <v>0</v>
      </c>
      <c r="P23" s="155">
        <f t="shared" si="7"/>
        <v>2281</v>
      </c>
      <c r="Q23" s="291">
        <v>2052.32</v>
      </c>
      <c r="R23" s="155">
        <f t="shared" si="8"/>
        <v>2281</v>
      </c>
      <c r="S23" s="291">
        <f>SUMIF(Hoja1!B:B,'Budget YR2-4 DC+Hm'!D:D,Hoja1!G:G)</f>
        <v>2201.4399999999996</v>
      </c>
      <c r="T23" s="87">
        <v>12</v>
      </c>
      <c r="U23" s="84">
        <f t="shared" si="0"/>
        <v>9124</v>
      </c>
      <c r="V23" s="85">
        <v>12</v>
      </c>
      <c r="W23" s="86">
        <f t="shared" si="1"/>
        <v>9124</v>
      </c>
      <c r="X23" s="88">
        <f t="shared" si="2"/>
        <v>27372</v>
      </c>
      <c r="Y23" s="99" t="s">
        <v>552</v>
      </c>
      <c r="Z23" s="63" t="s">
        <v>518</v>
      </c>
      <c r="AA23" s="63" t="s">
        <v>519</v>
      </c>
      <c r="AB23" s="63" t="s">
        <v>519</v>
      </c>
      <c r="AC23" s="63" t="s">
        <v>520</v>
      </c>
      <c r="AD23" s="63" t="s">
        <v>521</v>
      </c>
      <c r="AE23" s="63" t="s">
        <v>524</v>
      </c>
    </row>
    <row r="24" spans="1:31" s="95" customFormat="1" ht="22.5" customHeight="1">
      <c r="A24" s="63" t="s">
        <v>503</v>
      </c>
      <c r="B24" s="95" t="s">
        <v>26</v>
      </c>
      <c r="C24" s="95" t="s">
        <v>59</v>
      </c>
      <c r="D24" s="276" t="s">
        <v>893</v>
      </c>
      <c r="E24" s="83" t="s">
        <v>554</v>
      </c>
      <c r="F24" s="96">
        <v>0.3333333333333333</v>
      </c>
      <c r="G24" s="49">
        <v>2281</v>
      </c>
      <c r="H24" s="49" t="s">
        <v>90</v>
      </c>
      <c r="I24" s="99">
        <f t="shared" si="3"/>
        <v>760.3333333333333</v>
      </c>
      <c r="J24" s="85">
        <v>12</v>
      </c>
      <c r="K24" s="86">
        <f t="shared" si="4"/>
        <v>9124</v>
      </c>
      <c r="L24" s="155">
        <f t="shared" si="5"/>
        <v>2281</v>
      </c>
      <c r="M24" s="291">
        <v>0</v>
      </c>
      <c r="N24" s="155">
        <f t="shared" si="6"/>
        <v>2281</v>
      </c>
      <c r="O24" s="291">
        <v>583.78</v>
      </c>
      <c r="P24" s="155">
        <f t="shared" si="7"/>
        <v>2281</v>
      </c>
      <c r="Q24" s="291">
        <v>301.65999999999997</v>
      </c>
      <c r="R24" s="155">
        <f t="shared" si="8"/>
        <v>2281</v>
      </c>
      <c r="S24" s="291">
        <f>SUMIF(Hoja1!B:B,'Budget YR2-4 DC+Hm'!D:D,Hoja1!G:G)</f>
        <v>1709.5900000000001</v>
      </c>
      <c r="T24" s="87">
        <v>12</v>
      </c>
      <c r="U24" s="84">
        <f t="shared" si="0"/>
        <v>9124</v>
      </c>
      <c r="V24" s="85">
        <v>12</v>
      </c>
      <c r="W24" s="86">
        <f t="shared" si="1"/>
        <v>9124</v>
      </c>
      <c r="X24" s="88">
        <f t="shared" si="2"/>
        <v>27372</v>
      </c>
      <c r="Y24" s="99" t="s">
        <v>552</v>
      </c>
      <c r="Z24" s="63" t="s">
        <v>518</v>
      </c>
      <c r="AA24" s="63" t="s">
        <v>519</v>
      </c>
      <c r="AB24" s="63" t="s">
        <v>519</v>
      </c>
      <c r="AC24" s="63" t="s">
        <v>520</v>
      </c>
      <c r="AD24" s="63" t="s">
        <v>521</v>
      </c>
      <c r="AE24" s="63" t="s">
        <v>526</v>
      </c>
    </row>
    <row r="25" spans="1:32" s="95" customFormat="1" ht="34.5" customHeight="1">
      <c r="A25" s="63" t="s">
        <v>503</v>
      </c>
      <c r="B25" s="95" t="s">
        <v>26</v>
      </c>
      <c r="C25" s="95" t="s">
        <v>59</v>
      </c>
      <c r="D25" s="276" t="s">
        <v>898</v>
      </c>
      <c r="E25" s="83" t="s">
        <v>555</v>
      </c>
      <c r="F25" s="96">
        <v>0.3333333333333333</v>
      </c>
      <c r="G25" s="49">
        <v>20000</v>
      </c>
      <c r="H25" s="49" t="s">
        <v>97</v>
      </c>
      <c r="I25" s="99">
        <f t="shared" si="3"/>
        <v>6666.666666666666</v>
      </c>
      <c r="J25" s="85">
        <v>1</v>
      </c>
      <c r="K25" s="86">
        <f t="shared" si="4"/>
        <v>6666.666666666666</v>
      </c>
      <c r="L25" s="155">
        <f t="shared" si="5"/>
        <v>1666.6666666666665</v>
      </c>
      <c r="M25" s="291">
        <v>296</v>
      </c>
      <c r="N25" s="155">
        <f t="shared" si="6"/>
        <v>1666.6666666666665</v>
      </c>
      <c r="O25" s="291">
        <v>395</v>
      </c>
      <c r="P25" s="155">
        <f t="shared" si="7"/>
        <v>1666.6666666666665</v>
      </c>
      <c r="Q25" s="291">
        <v>4738.23</v>
      </c>
      <c r="R25" s="155">
        <f t="shared" si="8"/>
        <v>1666.6666666666665</v>
      </c>
      <c r="S25" s="291">
        <f>SUMIF(Hoja1!B:B,'Budget YR2-4 DC+Hm'!D:D,Hoja1!G:G)</f>
        <v>1677.0199999999998</v>
      </c>
      <c r="T25" s="87">
        <v>1</v>
      </c>
      <c r="U25" s="84">
        <f t="shared" si="0"/>
        <v>6666.666666666666</v>
      </c>
      <c r="V25" s="85">
        <v>1</v>
      </c>
      <c r="W25" s="86">
        <f t="shared" si="1"/>
        <v>6666.666666666666</v>
      </c>
      <c r="X25" s="88">
        <f t="shared" si="2"/>
        <v>20000</v>
      </c>
      <c r="Y25" s="99" t="s">
        <v>556</v>
      </c>
      <c r="Z25" s="63" t="s">
        <v>518</v>
      </c>
      <c r="AA25" s="63" t="s">
        <v>519</v>
      </c>
      <c r="AB25" s="63" t="s">
        <v>519</v>
      </c>
      <c r="AC25" s="63" t="s">
        <v>520</v>
      </c>
      <c r="AD25" s="63" t="s">
        <v>521</v>
      </c>
      <c r="AE25" s="63" t="s">
        <v>522</v>
      </c>
      <c r="AF25" s="241" t="s">
        <v>522</v>
      </c>
    </row>
    <row r="26" spans="1:31" s="95" customFormat="1" ht="34.5" customHeight="1">
      <c r="A26" s="63" t="s">
        <v>503</v>
      </c>
      <c r="B26" s="95" t="s">
        <v>26</v>
      </c>
      <c r="C26" s="95" t="s">
        <v>59</v>
      </c>
      <c r="D26" s="276" t="s">
        <v>901</v>
      </c>
      <c r="E26" s="83" t="s">
        <v>557</v>
      </c>
      <c r="F26" s="96">
        <v>0.3333333333333333</v>
      </c>
      <c r="G26" s="49">
        <v>20000</v>
      </c>
      <c r="H26" s="49" t="s">
        <v>97</v>
      </c>
      <c r="I26" s="99">
        <f t="shared" si="3"/>
        <v>6666.666666666666</v>
      </c>
      <c r="J26" s="85">
        <v>1</v>
      </c>
      <c r="K26" s="86">
        <f t="shared" si="4"/>
        <v>6666.666666666666</v>
      </c>
      <c r="L26" s="155">
        <f t="shared" si="5"/>
        <v>1666.6666666666665</v>
      </c>
      <c r="M26" s="291">
        <v>0</v>
      </c>
      <c r="N26" s="155">
        <f t="shared" si="6"/>
        <v>1666.6666666666665</v>
      </c>
      <c r="O26" s="291">
        <v>1268</v>
      </c>
      <c r="P26" s="155">
        <f t="shared" si="7"/>
        <v>1666.6666666666665</v>
      </c>
      <c r="Q26" s="291">
        <v>477.39</v>
      </c>
      <c r="R26" s="155">
        <f t="shared" si="8"/>
        <v>1666.6666666666665</v>
      </c>
      <c r="S26" s="291">
        <f>SUMIF(Hoja1!B:B,'Budget YR2-4 DC+Hm'!D:D,Hoja1!G:G)</f>
        <v>1078.83</v>
      </c>
      <c r="T26" s="87">
        <v>1</v>
      </c>
      <c r="U26" s="84">
        <f t="shared" si="0"/>
        <v>6666.666666666666</v>
      </c>
      <c r="V26" s="85">
        <v>1</v>
      </c>
      <c r="W26" s="86">
        <f t="shared" si="1"/>
        <v>6666.666666666666</v>
      </c>
      <c r="X26" s="88">
        <f t="shared" si="2"/>
        <v>20000</v>
      </c>
      <c r="Y26" s="99" t="s">
        <v>556</v>
      </c>
      <c r="Z26" s="63" t="s">
        <v>518</v>
      </c>
      <c r="AA26" s="63" t="s">
        <v>519</v>
      </c>
      <c r="AB26" s="63" t="s">
        <v>519</v>
      </c>
      <c r="AC26" s="63" t="s">
        <v>520</v>
      </c>
      <c r="AD26" s="63" t="s">
        <v>521</v>
      </c>
      <c r="AE26" s="63" t="s">
        <v>524</v>
      </c>
    </row>
    <row r="27" spans="1:31" s="95" customFormat="1" ht="34.5" customHeight="1">
      <c r="A27" s="63" t="s">
        <v>503</v>
      </c>
      <c r="B27" s="95" t="s">
        <v>26</v>
      </c>
      <c r="C27" s="95" t="s">
        <v>59</v>
      </c>
      <c r="D27" s="276" t="s">
        <v>894</v>
      </c>
      <c r="E27" s="83" t="s">
        <v>558</v>
      </c>
      <c r="F27" s="96">
        <v>0.3333333333333333</v>
      </c>
      <c r="G27" s="49">
        <v>20000</v>
      </c>
      <c r="H27" s="49" t="s">
        <v>97</v>
      </c>
      <c r="I27" s="99">
        <f t="shared" si="3"/>
        <v>6666.666666666666</v>
      </c>
      <c r="J27" s="85">
        <v>1</v>
      </c>
      <c r="K27" s="86">
        <f t="shared" si="4"/>
        <v>6666.666666666666</v>
      </c>
      <c r="L27" s="155">
        <f t="shared" si="5"/>
        <v>1666.6666666666665</v>
      </c>
      <c r="M27" s="291">
        <v>400</v>
      </c>
      <c r="N27" s="155">
        <f t="shared" si="6"/>
        <v>1666.6666666666665</v>
      </c>
      <c r="O27" s="291">
        <v>927.6700000000001</v>
      </c>
      <c r="P27" s="155">
        <f t="shared" si="7"/>
        <v>1666.6666666666665</v>
      </c>
      <c r="Q27" s="291">
        <v>931.5</v>
      </c>
      <c r="R27" s="155">
        <f t="shared" si="8"/>
        <v>1666.6666666666665</v>
      </c>
      <c r="S27" s="291">
        <f>SUMIF(Hoja1!B:B,'Budget YR2-4 DC+Hm'!D:D,Hoja1!G:G)</f>
        <v>337.73</v>
      </c>
      <c r="T27" s="87">
        <v>1</v>
      </c>
      <c r="U27" s="84">
        <f t="shared" si="0"/>
        <v>6666.666666666666</v>
      </c>
      <c r="V27" s="85">
        <v>1</v>
      </c>
      <c r="W27" s="86">
        <f t="shared" si="1"/>
        <v>6666.666666666666</v>
      </c>
      <c r="X27" s="88">
        <f t="shared" si="2"/>
        <v>20000</v>
      </c>
      <c r="Y27" s="99" t="s">
        <v>556</v>
      </c>
      <c r="Z27" s="63" t="s">
        <v>518</v>
      </c>
      <c r="AA27" s="63" t="s">
        <v>519</v>
      </c>
      <c r="AB27" s="63" t="s">
        <v>519</v>
      </c>
      <c r="AC27" s="63" t="s">
        <v>520</v>
      </c>
      <c r="AD27" s="63" t="s">
        <v>521</v>
      </c>
      <c r="AE27" s="63" t="s">
        <v>526</v>
      </c>
    </row>
    <row r="28" spans="1:32" s="95" customFormat="1" ht="21.75">
      <c r="A28" s="63" t="s">
        <v>503</v>
      </c>
      <c r="B28" s="95" t="s">
        <v>26</v>
      </c>
      <c r="C28" s="95" t="s">
        <v>59</v>
      </c>
      <c r="D28" s="276" t="s">
        <v>899</v>
      </c>
      <c r="E28" s="83" t="s">
        <v>559</v>
      </c>
      <c r="F28" s="96">
        <v>0.3333333333333333</v>
      </c>
      <c r="G28" s="49">
        <v>6000</v>
      </c>
      <c r="H28" s="49" t="s">
        <v>97</v>
      </c>
      <c r="I28" s="99">
        <f t="shared" si="3"/>
        <v>2000</v>
      </c>
      <c r="J28" s="85">
        <v>1</v>
      </c>
      <c r="K28" s="86">
        <f t="shared" si="4"/>
        <v>2000</v>
      </c>
      <c r="L28" s="155">
        <f t="shared" si="5"/>
        <v>500</v>
      </c>
      <c r="M28" s="291">
        <v>1000</v>
      </c>
      <c r="N28" s="155">
        <f t="shared" si="6"/>
        <v>500</v>
      </c>
      <c r="O28" s="291">
        <v>0</v>
      </c>
      <c r="P28" s="155">
        <f t="shared" si="7"/>
        <v>500</v>
      </c>
      <c r="Q28" s="291">
        <v>0</v>
      </c>
      <c r="R28" s="155">
        <f t="shared" si="8"/>
        <v>500</v>
      </c>
      <c r="S28" s="291">
        <f>SUMIF(Hoja1!B:B,'Budget YR2-4 DC+Hm'!D:D,Hoja1!G:G)</f>
        <v>5450.63</v>
      </c>
      <c r="T28" s="87">
        <v>1</v>
      </c>
      <c r="U28" s="84">
        <f t="shared" si="0"/>
        <v>2000</v>
      </c>
      <c r="V28" s="85">
        <v>1</v>
      </c>
      <c r="W28" s="86">
        <f t="shared" si="1"/>
        <v>2000</v>
      </c>
      <c r="X28" s="88">
        <f t="shared" si="2"/>
        <v>6000</v>
      </c>
      <c r="Y28" s="99" t="s">
        <v>560</v>
      </c>
      <c r="Z28" s="63" t="s">
        <v>518</v>
      </c>
      <c r="AA28" s="63" t="s">
        <v>519</v>
      </c>
      <c r="AB28" s="63" t="s">
        <v>519</v>
      </c>
      <c r="AC28" s="63" t="s">
        <v>520</v>
      </c>
      <c r="AD28" s="63" t="s">
        <v>521</v>
      </c>
      <c r="AE28" s="63" t="s">
        <v>522</v>
      </c>
      <c r="AF28" s="241" t="s">
        <v>522</v>
      </c>
    </row>
    <row r="29" spans="1:31" s="95" customFormat="1" ht="21.75">
      <c r="A29" s="63" t="s">
        <v>503</v>
      </c>
      <c r="B29" s="95" t="s">
        <v>26</v>
      </c>
      <c r="C29" s="95" t="s">
        <v>59</v>
      </c>
      <c r="D29" s="276" t="s">
        <v>902</v>
      </c>
      <c r="E29" s="83" t="s">
        <v>561</v>
      </c>
      <c r="F29" s="96">
        <v>0.3333333333333333</v>
      </c>
      <c r="G29" s="49">
        <v>6000</v>
      </c>
      <c r="H29" s="49" t="s">
        <v>97</v>
      </c>
      <c r="I29" s="99">
        <f t="shared" si="3"/>
        <v>2000</v>
      </c>
      <c r="J29" s="85">
        <v>1</v>
      </c>
      <c r="K29" s="86">
        <f t="shared" si="4"/>
        <v>2000</v>
      </c>
      <c r="L29" s="155">
        <f t="shared" si="5"/>
        <v>500</v>
      </c>
      <c r="M29" s="291">
        <v>0</v>
      </c>
      <c r="N29" s="155">
        <f t="shared" si="6"/>
        <v>500</v>
      </c>
      <c r="O29" s="291">
        <v>0</v>
      </c>
      <c r="P29" s="155">
        <f t="shared" si="7"/>
        <v>500</v>
      </c>
      <c r="Q29" s="291">
        <v>0</v>
      </c>
      <c r="R29" s="155">
        <f t="shared" si="8"/>
        <v>500</v>
      </c>
      <c r="S29" s="291">
        <f>SUMIF(Hoja1!B:B,'Budget YR2-4 DC+Hm'!D:D,Hoja1!G:G)</f>
        <v>3361.78</v>
      </c>
      <c r="T29" s="87">
        <v>1</v>
      </c>
      <c r="U29" s="84">
        <f t="shared" si="0"/>
        <v>2000</v>
      </c>
      <c r="V29" s="85">
        <v>1</v>
      </c>
      <c r="W29" s="86">
        <f t="shared" si="1"/>
        <v>2000</v>
      </c>
      <c r="X29" s="88">
        <f t="shared" si="2"/>
        <v>6000</v>
      </c>
      <c r="Y29" s="99" t="s">
        <v>560</v>
      </c>
      <c r="Z29" s="63" t="s">
        <v>518</v>
      </c>
      <c r="AA29" s="63" t="s">
        <v>519</v>
      </c>
      <c r="AB29" s="63" t="s">
        <v>519</v>
      </c>
      <c r="AC29" s="63" t="s">
        <v>520</v>
      </c>
      <c r="AD29" s="63" t="s">
        <v>521</v>
      </c>
      <c r="AE29" s="63" t="s">
        <v>524</v>
      </c>
    </row>
    <row r="30" spans="1:31" s="95" customFormat="1" ht="21.75">
      <c r="A30" s="63" t="s">
        <v>503</v>
      </c>
      <c r="B30" s="95" t="s">
        <v>26</v>
      </c>
      <c r="C30" s="95" t="s">
        <v>59</v>
      </c>
      <c r="D30" s="276" t="s">
        <v>895</v>
      </c>
      <c r="E30" s="83" t="s">
        <v>562</v>
      </c>
      <c r="F30" s="96">
        <v>0.3333333333333333</v>
      </c>
      <c r="G30" s="49">
        <v>6000</v>
      </c>
      <c r="H30" s="49" t="s">
        <v>97</v>
      </c>
      <c r="I30" s="99">
        <f t="shared" si="3"/>
        <v>2000</v>
      </c>
      <c r="J30" s="85">
        <v>1</v>
      </c>
      <c r="K30" s="86">
        <f t="shared" si="4"/>
        <v>2000</v>
      </c>
      <c r="L30" s="155">
        <f t="shared" si="5"/>
        <v>500</v>
      </c>
      <c r="M30" s="291">
        <v>0</v>
      </c>
      <c r="N30" s="155">
        <f t="shared" si="6"/>
        <v>500</v>
      </c>
      <c r="O30" s="291">
        <v>0</v>
      </c>
      <c r="P30" s="155">
        <f t="shared" si="7"/>
        <v>500</v>
      </c>
      <c r="Q30" s="291">
        <v>0</v>
      </c>
      <c r="R30" s="155">
        <f t="shared" si="8"/>
        <v>500</v>
      </c>
      <c r="S30" s="291">
        <f>SUMIF(Hoja1!B:B,'Budget YR2-4 DC+Hm'!D:D,Hoja1!G:G)</f>
        <v>1777.1536</v>
      </c>
      <c r="T30" s="87">
        <v>1</v>
      </c>
      <c r="U30" s="84">
        <f t="shared" si="0"/>
        <v>2000</v>
      </c>
      <c r="V30" s="85">
        <v>1</v>
      </c>
      <c r="W30" s="86">
        <f t="shared" si="1"/>
        <v>2000</v>
      </c>
      <c r="X30" s="88">
        <f t="shared" si="2"/>
        <v>6000</v>
      </c>
      <c r="Y30" s="99" t="s">
        <v>560</v>
      </c>
      <c r="Z30" s="63" t="s">
        <v>518</v>
      </c>
      <c r="AA30" s="63" t="s">
        <v>519</v>
      </c>
      <c r="AB30" s="63" t="s">
        <v>519</v>
      </c>
      <c r="AC30" s="63" t="s">
        <v>520</v>
      </c>
      <c r="AD30" s="63" t="s">
        <v>521</v>
      </c>
      <c r="AE30" s="63" t="s">
        <v>526</v>
      </c>
    </row>
    <row r="31" spans="1:32" s="98" customFormat="1" ht="21.75">
      <c r="A31" s="63" t="s">
        <v>503</v>
      </c>
      <c r="B31" s="95" t="s">
        <v>26</v>
      </c>
      <c r="C31" s="95" t="s">
        <v>59</v>
      </c>
      <c r="D31" s="276" t="s">
        <v>906</v>
      </c>
      <c r="E31" s="83" t="s">
        <v>907</v>
      </c>
      <c r="F31" s="96">
        <v>0.3333333333333333</v>
      </c>
      <c r="G31" s="92">
        <v>400</v>
      </c>
      <c r="H31" s="92" t="s">
        <v>90</v>
      </c>
      <c r="I31" s="99">
        <f t="shared" si="3"/>
        <v>133.33333333333331</v>
      </c>
      <c r="J31" s="85">
        <v>12</v>
      </c>
      <c r="K31" s="86">
        <f t="shared" si="4"/>
        <v>1599.9999999999998</v>
      </c>
      <c r="L31" s="155">
        <f t="shared" si="5"/>
        <v>399.99999999999994</v>
      </c>
      <c r="M31" s="291">
        <v>179.31</v>
      </c>
      <c r="N31" s="155">
        <f t="shared" si="6"/>
        <v>399.99999999999994</v>
      </c>
      <c r="O31" s="291">
        <v>148.17000000000002</v>
      </c>
      <c r="P31" s="155">
        <f t="shared" si="7"/>
        <v>399.99999999999994</v>
      </c>
      <c r="Q31" s="291">
        <v>259.08</v>
      </c>
      <c r="R31" s="155">
        <f t="shared" si="8"/>
        <v>399.99999999999994</v>
      </c>
      <c r="S31" s="291">
        <f>SUMIF(Hoja1!B:B,'Budget YR2-4 DC+Hm'!D:D,Hoja1!G:G)</f>
        <v>0</v>
      </c>
      <c r="T31" s="87">
        <v>12</v>
      </c>
      <c r="U31" s="84">
        <f t="shared" si="0"/>
        <v>1599.9999999999998</v>
      </c>
      <c r="V31" s="85">
        <v>12</v>
      </c>
      <c r="W31" s="86">
        <f t="shared" si="1"/>
        <v>1599.9999999999998</v>
      </c>
      <c r="X31" s="88">
        <f t="shared" si="2"/>
        <v>4799.999999999999</v>
      </c>
      <c r="Y31" s="90" t="s">
        <v>563</v>
      </c>
      <c r="Z31" s="63" t="s">
        <v>518</v>
      </c>
      <c r="AA31" s="63" t="s">
        <v>519</v>
      </c>
      <c r="AB31" s="63" t="s">
        <v>519</v>
      </c>
      <c r="AC31" s="63" t="s">
        <v>520</v>
      </c>
      <c r="AD31" s="63" t="s">
        <v>521</v>
      </c>
      <c r="AE31" s="63" t="s">
        <v>522</v>
      </c>
      <c r="AF31" s="241" t="s">
        <v>522</v>
      </c>
    </row>
    <row r="32" spans="1:31" s="98" customFormat="1" ht="21.75">
      <c r="A32" s="63" t="s">
        <v>503</v>
      </c>
      <c r="B32" s="95" t="s">
        <v>26</v>
      </c>
      <c r="C32" s="95" t="s">
        <v>59</v>
      </c>
      <c r="D32" s="276" t="s">
        <v>904</v>
      </c>
      <c r="E32" s="83" t="s">
        <v>905</v>
      </c>
      <c r="F32" s="96">
        <v>0.3333333333333333</v>
      </c>
      <c r="G32" s="92">
        <v>400</v>
      </c>
      <c r="H32" s="92" t="s">
        <v>90</v>
      </c>
      <c r="I32" s="99">
        <f t="shared" si="3"/>
        <v>133.33333333333331</v>
      </c>
      <c r="J32" s="85">
        <v>12</v>
      </c>
      <c r="K32" s="86">
        <f t="shared" si="4"/>
        <v>1599.9999999999998</v>
      </c>
      <c r="L32" s="155">
        <f t="shared" si="5"/>
        <v>399.99999999999994</v>
      </c>
      <c r="M32" s="291">
        <v>94.38</v>
      </c>
      <c r="N32" s="155">
        <f t="shared" si="6"/>
        <v>399.99999999999994</v>
      </c>
      <c r="O32" s="291">
        <v>1162.39</v>
      </c>
      <c r="P32" s="155">
        <f t="shared" si="7"/>
        <v>399.99999999999994</v>
      </c>
      <c r="Q32" s="291">
        <v>99.67</v>
      </c>
      <c r="R32" s="155">
        <f t="shared" si="8"/>
        <v>399.99999999999994</v>
      </c>
      <c r="S32" s="291">
        <f>SUMIF(Hoja1!B:B,'Budget YR2-4 DC+Hm'!D:D,Hoja1!G:G)</f>
        <v>444.53</v>
      </c>
      <c r="T32" s="87">
        <v>12</v>
      </c>
      <c r="U32" s="84">
        <f t="shared" si="0"/>
        <v>1599.9999999999998</v>
      </c>
      <c r="V32" s="85">
        <v>12</v>
      </c>
      <c r="W32" s="86">
        <f t="shared" si="1"/>
        <v>1599.9999999999998</v>
      </c>
      <c r="X32" s="88">
        <f t="shared" si="2"/>
        <v>4799.999999999999</v>
      </c>
      <c r="Y32" s="90" t="s">
        <v>563</v>
      </c>
      <c r="Z32" s="63" t="s">
        <v>518</v>
      </c>
      <c r="AA32" s="63" t="s">
        <v>519</v>
      </c>
      <c r="AB32" s="63" t="s">
        <v>519</v>
      </c>
      <c r="AC32" s="63" t="s">
        <v>520</v>
      </c>
      <c r="AD32" s="63" t="s">
        <v>521</v>
      </c>
      <c r="AE32" s="63" t="s">
        <v>524</v>
      </c>
    </row>
    <row r="33" spans="1:31" s="98" customFormat="1" ht="21.75">
      <c r="A33" s="63" t="s">
        <v>503</v>
      </c>
      <c r="B33" s="95" t="s">
        <v>26</v>
      </c>
      <c r="C33" s="95" t="s">
        <v>59</v>
      </c>
      <c r="D33" s="276" t="s">
        <v>896</v>
      </c>
      <c r="E33" s="83" t="s">
        <v>903</v>
      </c>
      <c r="F33" s="96">
        <v>0.3333333333333333</v>
      </c>
      <c r="G33" s="92">
        <v>400</v>
      </c>
      <c r="H33" s="92" t="s">
        <v>90</v>
      </c>
      <c r="I33" s="99">
        <f t="shared" si="3"/>
        <v>133.33333333333331</v>
      </c>
      <c r="J33" s="85">
        <v>12</v>
      </c>
      <c r="K33" s="86">
        <f t="shared" si="4"/>
        <v>1599.9999999999998</v>
      </c>
      <c r="L33" s="155">
        <f t="shared" si="5"/>
        <v>399.99999999999994</v>
      </c>
      <c r="M33" s="291">
        <v>34.05</v>
      </c>
      <c r="N33" s="155">
        <f t="shared" si="6"/>
        <v>399.99999999999994</v>
      </c>
      <c r="O33" s="291">
        <v>91.2</v>
      </c>
      <c r="P33" s="155">
        <f t="shared" si="7"/>
        <v>399.99999999999994</v>
      </c>
      <c r="Q33" s="291">
        <v>99.62</v>
      </c>
      <c r="R33" s="155">
        <f t="shared" si="8"/>
        <v>399.99999999999994</v>
      </c>
      <c r="S33" s="291">
        <f>SUMIF(Hoja1!B:B,'Budget YR2-4 DC+Hm'!D:D,Hoja1!G:G)</f>
        <v>0</v>
      </c>
      <c r="T33" s="87">
        <v>12</v>
      </c>
      <c r="U33" s="84">
        <f t="shared" si="0"/>
        <v>1599.9999999999998</v>
      </c>
      <c r="V33" s="85">
        <v>12</v>
      </c>
      <c r="W33" s="86">
        <f t="shared" si="1"/>
        <v>1599.9999999999998</v>
      </c>
      <c r="X33" s="88">
        <f t="shared" si="2"/>
        <v>4799.999999999999</v>
      </c>
      <c r="Y33" s="90" t="s">
        <v>563</v>
      </c>
      <c r="Z33" s="63" t="s">
        <v>518</v>
      </c>
      <c r="AA33" s="63" t="s">
        <v>519</v>
      </c>
      <c r="AB33" s="63" t="s">
        <v>519</v>
      </c>
      <c r="AC33" s="63" t="s">
        <v>520</v>
      </c>
      <c r="AD33" s="63" t="s">
        <v>521</v>
      </c>
      <c r="AE33" s="63" t="s">
        <v>526</v>
      </c>
    </row>
    <row r="34" spans="1:31" s="95" customFormat="1" ht="10.5">
      <c r="A34" s="63" t="s">
        <v>503</v>
      </c>
      <c r="B34" s="95" t="s">
        <v>26</v>
      </c>
      <c r="C34" s="95" t="s">
        <v>852</v>
      </c>
      <c r="D34" s="276" t="s">
        <v>909</v>
      </c>
      <c r="E34" s="83" t="s">
        <v>564</v>
      </c>
      <c r="F34" s="91">
        <v>1</v>
      </c>
      <c r="G34" s="92">
        <v>3500</v>
      </c>
      <c r="H34" s="92" t="s">
        <v>831</v>
      </c>
      <c r="I34" s="99">
        <f t="shared" si="3"/>
        <v>3500</v>
      </c>
      <c r="J34" s="93">
        <v>8</v>
      </c>
      <c r="K34" s="86">
        <f t="shared" si="4"/>
        <v>28000</v>
      </c>
      <c r="L34" s="155">
        <f t="shared" si="5"/>
        <v>7000</v>
      </c>
      <c r="M34" s="291">
        <v>0</v>
      </c>
      <c r="N34" s="155">
        <f t="shared" si="6"/>
        <v>7000</v>
      </c>
      <c r="O34" s="291">
        <v>4658.0599999999995</v>
      </c>
      <c r="P34" s="155">
        <f t="shared" si="7"/>
        <v>7000</v>
      </c>
      <c r="Q34" s="291">
        <v>19016.49</v>
      </c>
      <c r="R34" s="155">
        <f t="shared" si="8"/>
        <v>7000</v>
      </c>
      <c r="S34" s="400">
        <f>SUMIF(Hoja1!B:B,'Budget YR2-4 DC+Hm'!D:D,Hoja1!G:G)</f>
        <v>123.75999999999999</v>
      </c>
      <c r="T34" s="94">
        <v>12</v>
      </c>
      <c r="U34" s="84">
        <f t="shared" si="0"/>
        <v>42000</v>
      </c>
      <c r="V34" s="93">
        <v>12</v>
      </c>
      <c r="W34" s="86">
        <f t="shared" si="1"/>
        <v>42000</v>
      </c>
      <c r="X34" s="88">
        <f t="shared" si="2"/>
        <v>112000</v>
      </c>
      <c r="Y34" s="90" t="s">
        <v>565</v>
      </c>
      <c r="Z34" s="63">
        <v>1</v>
      </c>
      <c r="AA34" s="95" t="s">
        <v>519</v>
      </c>
      <c r="AB34" s="95">
        <v>1</v>
      </c>
      <c r="AC34" s="95" t="s">
        <v>43</v>
      </c>
      <c r="AD34" s="63" t="s">
        <v>521</v>
      </c>
      <c r="AE34" s="95" t="s">
        <v>520</v>
      </c>
    </row>
    <row r="35" spans="1:31" s="95" customFormat="1" ht="21.75">
      <c r="A35" s="63" t="s">
        <v>503</v>
      </c>
      <c r="B35" s="95" t="s">
        <v>26</v>
      </c>
      <c r="C35" s="95" t="s">
        <v>46</v>
      </c>
      <c r="D35" s="276" t="s">
        <v>908</v>
      </c>
      <c r="E35" s="83" t="s">
        <v>566</v>
      </c>
      <c r="F35" s="91">
        <v>1</v>
      </c>
      <c r="G35" s="92">
        <v>1000</v>
      </c>
      <c r="H35" s="92" t="s">
        <v>90</v>
      </c>
      <c r="I35" s="99">
        <f>F35*G35</f>
        <v>1000</v>
      </c>
      <c r="J35" s="93">
        <v>12</v>
      </c>
      <c r="K35" s="86">
        <f>J35*I35</f>
        <v>12000</v>
      </c>
      <c r="L35" s="155">
        <f t="shared" si="5"/>
        <v>3000</v>
      </c>
      <c r="M35" s="291">
        <v>0</v>
      </c>
      <c r="N35" s="155">
        <f t="shared" si="6"/>
        <v>3000</v>
      </c>
      <c r="O35" s="291">
        <v>0</v>
      </c>
      <c r="P35" s="155">
        <f t="shared" si="7"/>
        <v>3000</v>
      </c>
      <c r="Q35" s="291">
        <v>2254.08</v>
      </c>
      <c r="R35" s="155">
        <f t="shared" si="8"/>
        <v>3000</v>
      </c>
      <c r="S35" s="400">
        <f>SUMIF(Hoja1!B:B,'Budget YR2-4 DC+Hm'!D:D,Hoja1!G:G)</f>
        <v>2843.46</v>
      </c>
      <c r="T35" s="94">
        <v>12</v>
      </c>
      <c r="U35" s="84">
        <f t="shared" si="0"/>
        <v>12000</v>
      </c>
      <c r="V35" s="93">
        <v>12</v>
      </c>
      <c r="W35" s="86">
        <f t="shared" si="1"/>
        <v>12000</v>
      </c>
      <c r="X35" s="88">
        <f t="shared" si="2"/>
        <v>36000</v>
      </c>
      <c r="Y35" s="99" t="s">
        <v>567</v>
      </c>
      <c r="Z35" s="97">
        <v>1</v>
      </c>
      <c r="AA35" s="95" t="s">
        <v>519</v>
      </c>
      <c r="AB35" s="95">
        <v>1</v>
      </c>
      <c r="AC35" s="95" t="s">
        <v>540</v>
      </c>
      <c r="AD35" s="63" t="s">
        <v>521</v>
      </c>
      <c r="AE35" s="95" t="s">
        <v>520</v>
      </c>
    </row>
    <row r="36" spans="1:31" s="95" customFormat="1" ht="10.5">
      <c r="A36" s="63" t="s">
        <v>503</v>
      </c>
      <c r="B36" s="95" t="s">
        <v>26</v>
      </c>
      <c r="C36" s="95" t="s">
        <v>58</v>
      </c>
      <c r="D36" s="276" t="s">
        <v>910</v>
      </c>
      <c r="E36" s="83" t="s">
        <v>568</v>
      </c>
      <c r="F36" s="91">
        <v>1</v>
      </c>
      <c r="G36" s="92">
        <v>1500</v>
      </c>
      <c r="H36" s="92" t="s">
        <v>90</v>
      </c>
      <c r="I36" s="99">
        <f t="shared" si="3"/>
        <v>1500</v>
      </c>
      <c r="J36" s="93">
        <v>12</v>
      </c>
      <c r="K36" s="86">
        <f t="shared" si="4"/>
        <v>18000</v>
      </c>
      <c r="L36" s="155">
        <f t="shared" si="5"/>
        <v>4500</v>
      </c>
      <c r="M36" s="291">
        <v>0</v>
      </c>
      <c r="N36" s="155">
        <f t="shared" si="6"/>
        <v>4500</v>
      </c>
      <c r="O36" s="291">
        <v>614.89</v>
      </c>
      <c r="P36" s="155">
        <f t="shared" si="7"/>
        <v>4500</v>
      </c>
      <c r="Q36" s="291">
        <v>14886.49</v>
      </c>
      <c r="R36" s="155">
        <f t="shared" si="8"/>
        <v>4500</v>
      </c>
      <c r="S36" s="400">
        <f>SUMIF(Hoja1!B:B,'Budget YR2-4 DC+Hm'!D:D,Hoja1!G:G)</f>
        <v>4231.31</v>
      </c>
      <c r="T36" s="94">
        <v>12</v>
      </c>
      <c r="U36" s="84">
        <f t="shared" si="0"/>
        <v>18000</v>
      </c>
      <c r="V36" s="93">
        <v>12</v>
      </c>
      <c r="W36" s="86">
        <f t="shared" si="1"/>
        <v>18000</v>
      </c>
      <c r="X36" s="88">
        <f t="shared" si="2"/>
        <v>54000</v>
      </c>
      <c r="Y36" s="90" t="s">
        <v>569</v>
      </c>
      <c r="Z36" s="63">
        <v>1</v>
      </c>
      <c r="AA36" s="63" t="s">
        <v>519</v>
      </c>
      <c r="AB36" s="63" t="s">
        <v>519</v>
      </c>
      <c r="AC36" s="63" t="s">
        <v>520</v>
      </c>
      <c r="AD36" s="63" t="s">
        <v>521</v>
      </c>
      <c r="AE36" s="95" t="s">
        <v>520</v>
      </c>
    </row>
    <row r="37" spans="1:61" ht="10.5">
      <c r="A37" s="63" t="s">
        <v>503</v>
      </c>
      <c r="B37" s="95" t="s">
        <v>26</v>
      </c>
      <c r="C37" s="95" t="s">
        <v>58</v>
      </c>
      <c r="D37" s="276" t="s">
        <v>911</v>
      </c>
      <c r="E37" s="301" t="s">
        <v>570</v>
      </c>
      <c r="F37" s="100">
        <v>1</v>
      </c>
      <c r="G37" s="101">
        <v>1000</v>
      </c>
      <c r="H37" s="101" t="s">
        <v>90</v>
      </c>
      <c r="I37" s="143">
        <f t="shared" si="3"/>
        <v>1000</v>
      </c>
      <c r="J37" s="103">
        <v>12</v>
      </c>
      <c r="K37" s="104">
        <f t="shared" si="4"/>
        <v>12000</v>
      </c>
      <c r="L37" s="155">
        <f t="shared" si="5"/>
        <v>3000</v>
      </c>
      <c r="M37" s="291">
        <v>0</v>
      </c>
      <c r="N37" s="155">
        <f t="shared" si="6"/>
        <v>3000</v>
      </c>
      <c r="O37" s="291">
        <v>0</v>
      </c>
      <c r="P37" s="155">
        <f t="shared" si="7"/>
        <v>3000</v>
      </c>
      <c r="Q37" s="291">
        <v>12156.050000000001</v>
      </c>
      <c r="R37" s="155">
        <f t="shared" si="8"/>
        <v>3000</v>
      </c>
      <c r="S37" s="401">
        <f>SUMIF(Hoja1!B:B,'Budget YR2-4 DC+Hm'!D:D,Hoja1!G:G)</f>
        <v>5664.33</v>
      </c>
      <c r="T37" s="105">
        <v>12</v>
      </c>
      <c r="U37" s="102">
        <f t="shared" si="0"/>
        <v>12000</v>
      </c>
      <c r="V37" s="103">
        <v>12</v>
      </c>
      <c r="W37" s="104">
        <f t="shared" si="1"/>
        <v>12000</v>
      </c>
      <c r="X37" s="106">
        <f aca="true" t="shared" si="9" ref="X37:X71">K37+U37+W37</f>
        <v>36000</v>
      </c>
      <c r="Y37" s="107" t="s">
        <v>571</v>
      </c>
      <c r="Z37" s="63">
        <v>1</v>
      </c>
      <c r="AA37" s="63" t="s">
        <v>519</v>
      </c>
      <c r="AB37" s="63" t="s">
        <v>519</v>
      </c>
      <c r="AC37" s="63" t="s">
        <v>520</v>
      </c>
      <c r="AD37" s="63" t="s">
        <v>521</v>
      </c>
      <c r="AE37" s="65" t="s">
        <v>520</v>
      </c>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row>
    <row r="38" spans="1:61" s="92" customFormat="1" ht="10.5">
      <c r="A38" s="63" t="s">
        <v>503</v>
      </c>
      <c r="B38" s="95" t="s">
        <v>26</v>
      </c>
      <c r="C38" s="95" t="s">
        <v>854</v>
      </c>
      <c r="D38" s="276" t="s">
        <v>912</v>
      </c>
      <c r="E38" s="83" t="s">
        <v>572</v>
      </c>
      <c r="F38" s="96">
        <v>1</v>
      </c>
      <c r="G38" s="92">
        <v>500</v>
      </c>
      <c r="H38" s="92" t="s">
        <v>90</v>
      </c>
      <c r="I38" s="49">
        <f>F38*G38</f>
        <v>500</v>
      </c>
      <c r="J38" s="91">
        <v>12</v>
      </c>
      <c r="K38" s="108">
        <f>J38*I38</f>
        <v>6000</v>
      </c>
      <c r="L38" s="155">
        <f t="shared" si="5"/>
        <v>1500</v>
      </c>
      <c r="M38" s="291">
        <v>1528</v>
      </c>
      <c r="N38" s="155">
        <f t="shared" si="6"/>
        <v>1500</v>
      </c>
      <c r="O38" s="291">
        <v>1667.29</v>
      </c>
      <c r="P38" s="155">
        <f t="shared" si="7"/>
        <v>1500</v>
      </c>
      <c r="Q38" s="291">
        <v>1864.53</v>
      </c>
      <c r="R38" s="155">
        <f t="shared" si="8"/>
        <v>1500</v>
      </c>
      <c r="S38" s="400">
        <f>SUMIF(Hoja1!B:B,'Budget YR2-4 DC+Hm'!D:D,Hoja1!G:G)</f>
        <v>1643.25</v>
      </c>
      <c r="T38" s="91">
        <v>12</v>
      </c>
      <c r="U38" s="108">
        <f t="shared" si="0"/>
        <v>6000</v>
      </c>
      <c r="V38" s="91">
        <v>12</v>
      </c>
      <c r="W38" s="108">
        <f t="shared" si="1"/>
        <v>6000</v>
      </c>
      <c r="X38" s="109">
        <f t="shared" si="9"/>
        <v>18000</v>
      </c>
      <c r="Y38" s="90" t="s">
        <v>573</v>
      </c>
      <c r="Z38" s="63" t="s">
        <v>518</v>
      </c>
      <c r="AA38" s="97" t="s">
        <v>519</v>
      </c>
      <c r="AB38" s="97" t="s">
        <v>519</v>
      </c>
      <c r="AC38" s="97" t="s">
        <v>520</v>
      </c>
      <c r="AD38" s="63" t="s">
        <v>521</v>
      </c>
      <c r="AE38" s="63" t="s">
        <v>522</v>
      </c>
      <c r="AF38" s="241" t="s">
        <v>522</v>
      </c>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row>
    <row r="39" spans="1:61" s="92" customFormat="1" ht="10.5">
      <c r="A39" s="63" t="s">
        <v>503</v>
      </c>
      <c r="B39" s="95" t="s">
        <v>26</v>
      </c>
      <c r="C39" s="95" t="s">
        <v>854</v>
      </c>
      <c r="D39" s="276" t="s">
        <v>913</v>
      </c>
      <c r="E39" s="83" t="s">
        <v>574</v>
      </c>
      <c r="F39" s="96">
        <v>2</v>
      </c>
      <c r="G39" s="92">
        <v>500</v>
      </c>
      <c r="H39" s="92" t="s">
        <v>90</v>
      </c>
      <c r="I39" s="49">
        <f>F39*G39</f>
        <v>1000</v>
      </c>
      <c r="J39" s="91">
        <v>10</v>
      </c>
      <c r="K39" s="108">
        <f>J39*I39</f>
        <v>10000</v>
      </c>
      <c r="L39" s="155">
        <f t="shared" si="5"/>
        <v>2500</v>
      </c>
      <c r="M39" s="291">
        <v>2449.69</v>
      </c>
      <c r="N39" s="155">
        <f t="shared" si="6"/>
        <v>2500</v>
      </c>
      <c r="O39" s="291">
        <v>3219.91</v>
      </c>
      <c r="P39" s="155">
        <f t="shared" si="7"/>
        <v>2500</v>
      </c>
      <c r="Q39" s="291">
        <v>3172</v>
      </c>
      <c r="R39" s="155">
        <f t="shared" si="8"/>
        <v>2500</v>
      </c>
      <c r="S39" s="400">
        <f>SUMIF(Hoja1!B:B,'Budget YR2-4 DC+Hm'!D:D,Hoja1!G:G)</f>
        <v>966.52</v>
      </c>
      <c r="T39" s="91">
        <v>12</v>
      </c>
      <c r="U39" s="108">
        <f t="shared" si="0"/>
        <v>12000</v>
      </c>
      <c r="V39" s="91">
        <v>12</v>
      </c>
      <c r="W39" s="108">
        <f t="shared" si="1"/>
        <v>12000</v>
      </c>
      <c r="X39" s="109">
        <f t="shared" si="9"/>
        <v>34000</v>
      </c>
      <c r="Y39" s="90" t="s">
        <v>573</v>
      </c>
      <c r="Z39" s="63" t="s">
        <v>518</v>
      </c>
      <c r="AA39" s="97" t="s">
        <v>519</v>
      </c>
      <c r="AB39" s="97" t="s">
        <v>519</v>
      </c>
      <c r="AC39" s="97" t="s">
        <v>520</v>
      </c>
      <c r="AD39" s="63" t="s">
        <v>521</v>
      </c>
      <c r="AE39" s="63" t="s">
        <v>524</v>
      </c>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row>
    <row r="40" spans="1:61" s="92" customFormat="1" ht="10.5">
      <c r="A40" s="63" t="s">
        <v>503</v>
      </c>
      <c r="B40" s="95" t="s">
        <v>26</v>
      </c>
      <c r="C40" s="95" t="s">
        <v>854</v>
      </c>
      <c r="D40" s="276" t="s">
        <v>914</v>
      </c>
      <c r="E40" s="83" t="s">
        <v>575</v>
      </c>
      <c r="F40" s="96">
        <v>2</v>
      </c>
      <c r="G40" s="92">
        <v>500</v>
      </c>
      <c r="H40" s="92" t="s">
        <v>90</v>
      </c>
      <c r="I40" s="49">
        <f>F40*G40</f>
        <v>1000</v>
      </c>
      <c r="J40" s="91">
        <v>10</v>
      </c>
      <c r="K40" s="108">
        <f>J40*I40</f>
        <v>10000</v>
      </c>
      <c r="L40" s="155">
        <f t="shared" si="5"/>
        <v>2500</v>
      </c>
      <c r="M40" s="291">
        <v>200</v>
      </c>
      <c r="N40" s="155">
        <f t="shared" si="6"/>
        <v>2500</v>
      </c>
      <c r="O40" s="291">
        <v>1349.4</v>
      </c>
      <c r="P40" s="155">
        <f t="shared" si="7"/>
        <v>2500</v>
      </c>
      <c r="Q40" s="291">
        <v>2917.05</v>
      </c>
      <c r="R40" s="155">
        <f t="shared" si="8"/>
        <v>2500</v>
      </c>
      <c r="S40" s="400">
        <f>SUMIF(Hoja1!B:B,'Budget YR2-4 DC+Hm'!D:D,Hoja1!G:G)</f>
        <v>3633.04</v>
      </c>
      <c r="T40" s="91">
        <v>12</v>
      </c>
      <c r="U40" s="108">
        <f t="shared" si="0"/>
        <v>12000</v>
      </c>
      <c r="V40" s="91">
        <v>12</v>
      </c>
      <c r="W40" s="108">
        <f t="shared" si="1"/>
        <v>12000</v>
      </c>
      <c r="X40" s="109">
        <f t="shared" si="9"/>
        <v>34000</v>
      </c>
      <c r="Y40" s="90" t="s">
        <v>573</v>
      </c>
      <c r="Z40" s="63" t="s">
        <v>518</v>
      </c>
      <c r="AA40" s="97" t="s">
        <v>519</v>
      </c>
      <c r="AB40" s="97" t="s">
        <v>519</v>
      </c>
      <c r="AC40" s="97" t="s">
        <v>520</v>
      </c>
      <c r="AD40" s="63" t="s">
        <v>521</v>
      </c>
      <c r="AE40" s="63" t="s">
        <v>526</v>
      </c>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61" s="92" customFormat="1" ht="21.75">
      <c r="A41" s="63" t="s">
        <v>503</v>
      </c>
      <c r="B41" s="95" t="s">
        <v>26</v>
      </c>
      <c r="C41" s="95" t="s">
        <v>59</v>
      </c>
      <c r="D41" s="276" t="s">
        <v>915</v>
      </c>
      <c r="E41" s="83" t="s">
        <v>576</v>
      </c>
      <c r="F41" s="91">
        <v>1</v>
      </c>
      <c r="G41" s="92">
        <v>750</v>
      </c>
      <c r="H41" s="92" t="s">
        <v>90</v>
      </c>
      <c r="I41" s="49">
        <f>F41*G41</f>
        <v>750</v>
      </c>
      <c r="J41" s="91">
        <v>10</v>
      </c>
      <c r="K41" s="108">
        <f t="shared" si="4"/>
        <v>7500</v>
      </c>
      <c r="L41" s="155">
        <f t="shared" si="5"/>
        <v>1875</v>
      </c>
      <c r="M41" s="291">
        <v>0</v>
      </c>
      <c r="N41" s="155">
        <f t="shared" si="6"/>
        <v>1875</v>
      </c>
      <c r="O41" s="291">
        <v>204.9</v>
      </c>
      <c r="P41" s="155">
        <f t="shared" si="7"/>
        <v>1875</v>
      </c>
      <c r="Q41" s="291">
        <v>3450.72</v>
      </c>
      <c r="R41" s="155">
        <f t="shared" si="8"/>
        <v>1875</v>
      </c>
      <c r="S41" s="400">
        <f>SUMIF(Hoja1!B:B,'Budget YR2-4 DC+Hm'!D:D,Hoja1!G:G)</f>
        <v>7173.17</v>
      </c>
      <c r="T41" s="91">
        <v>12</v>
      </c>
      <c r="U41" s="108">
        <f t="shared" si="0"/>
        <v>9000</v>
      </c>
      <c r="V41" s="91">
        <v>12</v>
      </c>
      <c r="W41" s="108">
        <f t="shared" si="1"/>
        <v>9000</v>
      </c>
      <c r="X41" s="109">
        <f t="shared" si="9"/>
        <v>25500</v>
      </c>
      <c r="Y41" s="90" t="s">
        <v>577</v>
      </c>
      <c r="Z41" s="63" t="s">
        <v>518</v>
      </c>
      <c r="AA41" s="97" t="s">
        <v>519</v>
      </c>
      <c r="AB41" s="97" t="s">
        <v>519</v>
      </c>
      <c r="AC41" s="97" t="s">
        <v>520</v>
      </c>
      <c r="AD41" s="63" t="s">
        <v>521</v>
      </c>
      <c r="AE41" s="97" t="s">
        <v>520</v>
      </c>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1:26" ht="14.25" customHeight="1">
      <c r="A42" s="63" t="s">
        <v>503</v>
      </c>
      <c r="B42" s="95"/>
      <c r="C42" s="95"/>
      <c r="D42" s="95"/>
      <c r="E42" s="302" t="s">
        <v>578</v>
      </c>
      <c r="F42" s="111"/>
      <c r="G42" s="111"/>
      <c r="H42" s="111"/>
      <c r="I42" s="70"/>
      <c r="J42" s="113"/>
      <c r="K42" s="114"/>
      <c r="L42" s="70"/>
      <c r="M42" s="292"/>
      <c r="N42" s="70"/>
      <c r="O42" s="292"/>
      <c r="P42" s="70"/>
      <c r="Q42" s="291"/>
      <c r="R42" s="70"/>
      <c r="S42" s="292"/>
      <c r="T42" s="70"/>
      <c r="U42" s="112"/>
      <c r="V42" s="113"/>
      <c r="W42" s="114"/>
      <c r="X42" s="88">
        <f t="shared" si="9"/>
        <v>0</v>
      </c>
      <c r="Y42" s="82"/>
      <c r="Z42" s="82"/>
    </row>
    <row r="43" spans="1:36" ht="21" customHeight="1">
      <c r="A43" s="63" t="s">
        <v>503</v>
      </c>
      <c r="B43" s="95" t="s">
        <v>27</v>
      </c>
      <c r="C43" s="95" t="s">
        <v>852</v>
      </c>
      <c r="D43" s="276" t="s">
        <v>917</v>
      </c>
      <c r="E43" s="83" t="s">
        <v>169</v>
      </c>
      <c r="F43" s="43">
        <v>1</v>
      </c>
      <c r="G43" s="47">
        <v>4200</v>
      </c>
      <c r="H43" s="47" t="s">
        <v>90</v>
      </c>
      <c r="I43" s="99">
        <f>F43*G43</f>
        <v>4200</v>
      </c>
      <c r="J43" s="85">
        <v>4</v>
      </c>
      <c r="K43" s="86">
        <f>J43*I43+'Budget YR1 DC'!O15</f>
        <v>23257.53</v>
      </c>
      <c r="L43" s="155">
        <f>K43/4</f>
        <v>5814.3825</v>
      </c>
      <c r="M43" s="291">
        <v>9246.380000000001</v>
      </c>
      <c r="N43" s="155">
        <f>K43/4</f>
        <v>5814.3825</v>
      </c>
      <c r="O43" s="291">
        <v>9530.99</v>
      </c>
      <c r="P43" s="155">
        <f>K43/4</f>
        <v>5814.3825</v>
      </c>
      <c r="Q43" s="291">
        <v>2375</v>
      </c>
      <c r="R43" s="155">
        <f>K43/4</f>
        <v>5814.3825</v>
      </c>
      <c r="S43" s="291">
        <f>SUMIF(Hoja1!B:B,'Budget YR2-4 DC+Hm'!D:D,Hoja1!G:G)</f>
        <v>0</v>
      </c>
      <c r="T43" s="87">
        <v>4</v>
      </c>
      <c r="U43" s="84">
        <f>T43*I43</f>
        <v>16800</v>
      </c>
      <c r="V43" s="85">
        <v>4</v>
      </c>
      <c r="W43" s="86">
        <f>V43*I43</f>
        <v>16800</v>
      </c>
      <c r="X43" s="88">
        <f t="shared" si="9"/>
        <v>56857.53</v>
      </c>
      <c r="Y43" s="89" t="s">
        <v>579</v>
      </c>
      <c r="Z43" s="63" t="s">
        <v>518</v>
      </c>
      <c r="AA43" s="97" t="s">
        <v>519</v>
      </c>
      <c r="AB43" s="97" t="s">
        <v>519</v>
      </c>
      <c r="AC43" s="97" t="s">
        <v>580</v>
      </c>
      <c r="AD43" s="63" t="s">
        <v>521</v>
      </c>
      <c r="AE43" s="63" t="s">
        <v>581</v>
      </c>
      <c r="AI43" s="63">
        <v>6464660</v>
      </c>
      <c r="AJ43" s="115">
        <v>0.125</v>
      </c>
    </row>
    <row r="44" spans="1:35" ht="21.75">
      <c r="A44" s="63" t="s">
        <v>503</v>
      </c>
      <c r="B44" s="95" t="s">
        <v>27</v>
      </c>
      <c r="C44" s="95" t="s">
        <v>59</v>
      </c>
      <c r="D44" s="276" t="s">
        <v>918</v>
      </c>
      <c r="E44" s="83" t="s">
        <v>582</v>
      </c>
      <c r="F44" s="43">
        <v>1</v>
      </c>
      <c r="G44" s="47">
        <v>4200</v>
      </c>
      <c r="H44" s="47" t="s">
        <v>90</v>
      </c>
      <c r="I44" s="99">
        <f>F44*G44</f>
        <v>4200</v>
      </c>
      <c r="J44" s="85">
        <v>4</v>
      </c>
      <c r="K44" s="86">
        <f>J44*I44+'Budget YR1 DC'!O16</f>
        <v>19803.47</v>
      </c>
      <c r="L44" s="155">
        <f>K44/4</f>
        <v>4950.8675</v>
      </c>
      <c r="M44" s="291">
        <v>7586.179999999999</v>
      </c>
      <c r="N44" s="155">
        <f>K44/4</f>
        <v>4950.8675</v>
      </c>
      <c r="O44" s="291">
        <v>7333.460000000001</v>
      </c>
      <c r="P44" s="155">
        <f>K44/4</f>
        <v>4950.8675</v>
      </c>
      <c r="Q44" s="291">
        <v>254.35</v>
      </c>
      <c r="R44" s="155">
        <f>K44/4</f>
        <v>4950.8675</v>
      </c>
      <c r="S44" s="291">
        <f>SUMIF(Hoja1!B:B,'Budget YR2-4 DC+Hm'!D:D,Hoja1!G:G)</f>
        <v>0</v>
      </c>
      <c r="T44" s="87">
        <v>4</v>
      </c>
      <c r="U44" s="84">
        <f>T44*I44</f>
        <v>16800</v>
      </c>
      <c r="V44" s="85">
        <v>4</v>
      </c>
      <c r="W44" s="86">
        <f>V44*I44</f>
        <v>16800</v>
      </c>
      <c r="X44" s="88">
        <f t="shared" si="9"/>
        <v>53403.47</v>
      </c>
      <c r="Y44" s="89" t="s">
        <v>583</v>
      </c>
      <c r="Z44" s="63" t="s">
        <v>518</v>
      </c>
      <c r="AA44" s="97" t="s">
        <v>519</v>
      </c>
      <c r="AB44" s="97" t="s">
        <v>519</v>
      </c>
      <c r="AC44" s="97" t="s">
        <v>580</v>
      </c>
      <c r="AD44" s="63" t="s">
        <v>521</v>
      </c>
      <c r="AE44" s="63" t="s">
        <v>581</v>
      </c>
      <c r="AI44" s="63">
        <v>5747000</v>
      </c>
    </row>
    <row r="45" spans="1:35" ht="21.75">
      <c r="A45" s="63" t="s">
        <v>503</v>
      </c>
      <c r="B45" s="95" t="s">
        <v>27</v>
      </c>
      <c r="C45" s="95" t="s">
        <v>59</v>
      </c>
      <c r="D45" s="276" t="s">
        <v>919</v>
      </c>
      <c r="E45" s="83" t="s">
        <v>584</v>
      </c>
      <c r="F45" s="43">
        <v>1</v>
      </c>
      <c r="G45" s="47">
        <v>3500</v>
      </c>
      <c r="H45" s="47" t="s">
        <v>90</v>
      </c>
      <c r="I45" s="99">
        <f>F45*G45</f>
        <v>3500</v>
      </c>
      <c r="J45" s="85">
        <v>3</v>
      </c>
      <c r="K45" s="86">
        <f>J45*I45+'Budget YR1 DC'!O17</f>
        <v>12511</v>
      </c>
      <c r="L45" s="155">
        <f>K45/4</f>
        <v>3127.75</v>
      </c>
      <c r="M45" s="291">
        <v>6127.53</v>
      </c>
      <c r="N45" s="155">
        <f>K45/4</f>
        <v>3127.75</v>
      </c>
      <c r="O45" s="291">
        <v>5902.69</v>
      </c>
      <c r="P45" s="155">
        <f>K45/4</f>
        <v>3127.75</v>
      </c>
      <c r="Q45" s="291">
        <v>0</v>
      </c>
      <c r="R45" s="155">
        <f>K45/4</f>
        <v>3127.75</v>
      </c>
      <c r="S45" s="291">
        <f>SUMIF(Hoja1!B:B,'Budget YR2-4 DC+Hm'!D:D,Hoja1!G:G)</f>
        <v>0</v>
      </c>
      <c r="T45" s="87">
        <v>3</v>
      </c>
      <c r="U45" s="84">
        <f>T45*I45</f>
        <v>10500</v>
      </c>
      <c r="V45" s="85">
        <v>3</v>
      </c>
      <c r="W45" s="86">
        <f>V45*I45</f>
        <v>10500</v>
      </c>
      <c r="X45" s="88">
        <f t="shared" si="9"/>
        <v>33511</v>
      </c>
      <c r="Y45" s="89" t="s">
        <v>583</v>
      </c>
      <c r="Z45" s="63" t="s">
        <v>518</v>
      </c>
      <c r="AA45" s="97" t="s">
        <v>519</v>
      </c>
      <c r="AB45" s="97" t="s">
        <v>519</v>
      </c>
      <c r="AC45" s="97" t="s">
        <v>580</v>
      </c>
      <c r="AD45" s="63" t="s">
        <v>521</v>
      </c>
      <c r="AE45" s="63" t="s">
        <v>581</v>
      </c>
      <c r="AI45" s="63">
        <f>AI44*AJ43</f>
        <v>718375</v>
      </c>
    </row>
    <row r="46" spans="1:35" ht="21.75">
      <c r="A46" s="63" t="s">
        <v>503</v>
      </c>
      <c r="B46" s="95" t="s">
        <v>27</v>
      </c>
      <c r="C46" s="95" t="s">
        <v>59</v>
      </c>
      <c r="D46" s="276" t="s">
        <v>920</v>
      </c>
      <c r="E46" s="83" t="s">
        <v>585</v>
      </c>
      <c r="F46" s="43">
        <v>1</v>
      </c>
      <c r="G46" s="47">
        <v>4400</v>
      </c>
      <c r="H46" s="47" t="s">
        <v>97</v>
      </c>
      <c r="I46" s="99">
        <f>F46*G46</f>
        <v>4400</v>
      </c>
      <c r="J46" s="85">
        <v>1</v>
      </c>
      <c r="K46" s="86">
        <f>J46*I46</f>
        <v>4400</v>
      </c>
      <c r="L46" s="155">
        <v>2200</v>
      </c>
      <c r="M46" s="291">
        <v>2641.16</v>
      </c>
      <c r="N46" s="155"/>
      <c r="O46" s="291">
        <v>352.33</v>
      </c>
      <c r="P46" s="155">
        <v>2200</v>
      </c>
      <c r="Q46" s="291">
        <v>154.63</v>
      </c>
      <c r="R46" s="155"/>
      <c r="S46" s="291">
        <f>SUMIF(Hoja1!B:B,'Budget YR2-4 DC+Hm'!D:D,Hoja1!G:G)</f>
        <v>2815.81</v>
      </c>
      <c r="T46" s="87">
        <v>1</v>
      </c>
      <c r="U46" s="84">
        <f>T46*I46</f>
        <v>4400</v>
      </c>
      <c r="V46" s="85">
        <v>1</v>
      </c>
      <c r="W46" s="86">
        <f>V46*I46</f>
        <v>4400</v>
      </c>
      <c r="X46" s="88">
        <f t="shared" si="9"/>
        <v>13200</v>
      </c>
      <c r="Y46" s="89" t="s">
        <v>586</v>
      </c>
      <c r="Z46" s="63" t="s">
        <v>518</v>
      </c>
      <c r="AA46" s="97" t="s">
        <v>519</v>
      </c>
      <c r="AB46" s="97" t="s">
        <v>519</v>
      </c>
      <c r="AC46" s="97" t="s">
        <v>580</v>
      </c>
      <c r="AD46" s="97" t="s">
        <v>587</v>
      </c>
      <c r="AE46" s="63" t="s">
        <v>581</v>
      </c>
      <c r="AI46" s="63">
        <f>AI44+AI45</f>
        <v>6465375</v>
      </c>
    </row>
    <row r="47" spans="1:35" ht="21.75">
      <c r="A47" s="63" t="s">
        <v>503</v>
      </c>
      <c r="B47" s="95" t="s">
        <v>27</v>
      </c>
      <c r="C47" s="95" t="s">
        <v>59</v>
      </c>
      <c r="D47" s="276" t="s">
        <v>921</v>
      </c>
      <c r="E47" s="83" t="s">
        <v>182</v>
      </c>
      <c r="F47" s="43">
        <v>1</v>
      </c>
      <c r="G47" s="47">
        <v>22</v>
      </c>
      <c r="H47" s="47" t="s">
        <v>183</v>
      </c>
      <c r="I47" s="99">
        <v>22</v>
      </c>
      <c r="J47" s="85">
        <v>40</v>
      </c>
      <c r="K47" s="86">
        <f>J47*I47</f>
        <v>880</v>
      </c>
      <c r="L47" s="155">
        <v>440</v>
      </c>
      <c r="M47" s="291">
        <v>592</v>
      </c>
      <c r="N47" s="155"/>
      <c r="O47" s="291">
        <v>0</v>
      </c>
      <c r="P47" s="155">
        <v>440</v>
      </c>
      <c r="Q47" s="291">
        <v>0</v>
      </c>
      <c r="R47" s="155"/>
      <c r="S47" s="291">
        <f>SUMIF(Hoja1!B:B,'Budget YR2-4 DC+Hm'!D:D,Hoja1!G:G)</f>
        <v>3811.3999999999996</v>
      </c>
      <c r="T47" s="87">
        <v>40</v>
      </c>
      <c r="U47" s="84">
        <f>T47*I47</f>
        <v>880</v>
      </c>
      <c r="V47" s="85">
        <v>40</v>
      </c>
      <c r="W47" s="86">
        <f>V47*I47</f>
        <v>880</v>
      </c>
      <c r="X47" s="88">
        <f t="shared" si="9"/>
        <v>2640</v>
      </c>
      <c r="Y47" s="89" t="s">
        <v>588</v>
      </c>
      <c r="Z47" s="63" t="s">
        <v>518</v>
      </c>
      <c r="AA47" s="97" t="s">
        <v>519</v>
      </c>
      <c r="AB47" s="97" t="s">
        <v>519</v>
      </c>
      <c r="AC47" s="97" t="s">
        <v>580</v>
      </c>
      <c r="AD47" s="97" t="s">
        <v>587</v>
      </c>
      <c r="AE47" s="63" t="s">
        <v>581</v>
      </c>
      <c r="AI47" s="63">
        <f>AI46-AI43</f>
        <v>715</v>
      </c>
    </row>
    <row r="48" spans="1:26" ht="18" customHeight="1">
      <c r="A48" s="63" t="s">
        <v>503</v>
      </c>
      <c r="B48" s="95"/>
      <c r="C48" s="95"/>
      <c r="D48" s="95"/>
      <c r="E48" s="302" t="s">
        <v>589</v>
      </c>
      <c r="F48" s="111"/>
      <c r="G48" s="111"/>
      <c r="H48" s="111"/>
      <c r="I48" s="70"/>
      <c r="J48" s="113"/>
      <c r="K48" s="114"/>
      <c r="L48" s="70"/>
      <c r="M48" s="292"/>
      <c r="N48" s="70"/>
      <c r="O48" s="292"/>
      <c r="P48" s="70"/>
      <c r="Q48" s="291"/>
      <c r="R48" s="70"/>
      <c r="S48" s="292"/>
      <c r="T48" s="70"/>
      <c r="U48" s="112"/>
      <c r="V48" s="113"/>
      <c r="W48" s="114"/>
      <c r="X48" s="88">
        <f t="shared" si="9"/>
        <v>0</v>
      </c>
      <c r="Y48" s="82"/>
      <c r="Z48" s="82"/>
    </row>
    <row r="49" spans="1:32" s="95" customFormat="1" ht="10.5">
      <c r="A49" s="63" t="s">
        <v>503</v>
      </c>
      <c r="B49" s="95" t="s">
        <v>28</v>
      </c>
      <c r="C49" s="95" t="s">
        <v>48</v>
      </c>
      <c r="D49" s="276" t="s">
        <v>922</v>
      </c>
      <c r="E49" s="83" t="s">
        <v>590</v>
      </c>
      <c r="F49" s="48">
        <v>0</v>
      </c>
      <c r="G49" s="49">
        <v>3200</v>
      </c>
      <c r="H49" s="49" t="s">
        <v>90</v>
      </c>
      <c r="I49" s="99">
        <f aca="true" t="shared" si="10" ref="I49:I87">F49*G49</f>
        <v>0</v>
      </c>
      <c r="J49" s="116">
        <v>12</v>
      </c>
      <c r="K49" s="86">
        <f aca="true" t="shared" si="11" ref="K49:K87">J49*I49</f>
        <v>0</v>
      </c>
      <c r="L49" s="155"/>
      <c r="M49" s="291">
        <v>0</v>
      </c>
      <c r="N49" s="155"/>
      <c r="O49" s="291">
        <v>0</v>
      </c>
      <c r="P49" s="155"/>
      <c r="Q49" s="291">
        <v>0</v>
      </c>
      <c r="R49" s="155"/>
      <c r="S49" s="291">
        <f>SUMIF(Hoja1!B:B,'Budget YR2-4 DC+Hm'!D:D,Hoja1!G:G)</f>
        <v>0</v>
      </c>
      <c r="T49" s="117">
        <v>12</v>
      </c>
      <c r="U49" s="84">
        <f aca="true" t="shared" si="12" ref="U49:U76">T49*I49</f>
        <v>0</v>
      </c>
      <c r="V49" s="116">
        <v>12</v>
      </c>
      <c r="W49" s="86">
        <f aca="true" t="shared" si="13" ref="W49:W76">V49*I49</f>
        <v>0</v>
      </c>
      <c r="X49" s="88">
        <f t="shared" si="9"/>
        <v>0</v>
      </c>
      <c r="Y49" s="99" t="s">
        <v>591</v>
      </c>
      <c r="Z49" s="118">
        <v>3</v>
      </c>
      <c r="AA49" s="95">
        <v>4</v>
      </c>
      <c r="AB49" s="95" t="s">
        <v>519</v>
      </c>
      <c r="AC49" s="95" t="s">
        <v>520</v>
      </c>
      <c r="AD49" s="95" t="s">
        <v>592</v>
      </c>
      <c r="AE49" s="95" t="s">
        <v>522</v>
      </c>
      <c r="AF49" s="241" t="s">
        <v>522</v>
      </c>
    </row>
    <row r="50" spans="1:32" s="95" customFormat="1" ht="18.75" customHeight="1">
      <c r="A50" s="63" t="s">
        <v>503</v>
      </c>
      <c r="B50" s="95" t="s">
        <v>28</v>
      </c>
      <c r="C50" s="95" t="s">
        <v>48</v>
      </c>
      <c r="D50" s="276" t="s">
        <v>923</v>
      </c>
      <c r="E50" s="83" t="s">
        <v>593</v>
      </c>
      <c r="F50" s="48">
        <v>0</v>
      </c>
      <c r="G50" s="49">
        <v>150</v>
      </c>
      <c r="H50" s="49" t="s">
        <v>90</v>
      </c>
      <c r="I50" s="99">
        <f t="shared" si="10"/>
        <v>0</v>
      </c>
      <c r="J50" s="116">
        <v>12</v>
      </c>
      <c r="K50" s="86">
        <f t="shared" si="11"/>
        <v>0</v>
      </c>
      <c r="L50" s="155">
        <f>K50/4</f>
        <v>0</v>
      </c>
      <c r="M50" s="291">
        <v>0</v>
      </c>
      <c r="N50" s="155">
        <f>K50/4</f>
        <v>0</v>
      </c>
      <c r="O50" s="291">
        <v>0</v>
      </c>
      <c r="P50" s="155">
        <f>K50/4</f>
        <v>0</v>
      </c>
      <c r="Q50" s="291">
        <v>918.0899999999999</v>
      </c>
      <c r="R50" s="155">
        <f>K50/4</f>
        <v>0</v>
      </c>
      <c r="S50" s="291">
        <f>SUMIF(Hoja1!B:B,'Budget YR2-4 DC+Hm'!D:D,Hoja1!G:G)</f>
        <v>47.01</v>
      </c>
      <c r="T50" s="117">
        <v>12</v>
      </c>
      <c r="U50" s="84">
        <f t="shared" si="12"/>
        <v>0</v>
      </c>
      <c r="V50" s="116">
        <v>12</v>
      </c>
      <c r="W50" s="86">
        <f t="shared" si="13"/>
        <v>0</v>
      </c>
      <c r="X50" s="88">
        <f t="shared" si="9"/>
        <v>0</v>
      </c>
      <c r="Y50" s="99" t="s">
        <v>594</v>
      </c>
      <c r="Z50" s="118">
        <v>3</v>
      </c>
      <c r="AA50" s="95">
        <v>4</v>
      </c>
      <c r="AB50" s="95" t="s">
        <v>519</v>
      </c>
      <c r="AC50" s="95" t="s">
        <v>520</v>
      </c>
      <c r="AD50" s="95" t="s">
        <v>595</v>
      </c>
      <c r="AE50" s="95" t="s">
        <v>522</v>
      </c>
      <c r="AF50" s="241" t="s">
        <v>522</v>
      </c>
    </row>
    <row r="51" spans="1:32" s="95" customFormat="1" ht="16.5" customHeight="1">
      <c r="A51" s="63" t="s">
        <v>503</v>
      </c>
      <c r="B51" s="95" t="s">
        <v>28</v>
      </c>
      <c r="C51" s="95" t="s">
        <v>48</v>
      </c>
      <c r="D51" s="276" t="s">
        <v>924</v>
      </c>
      <c r="E51" s="83" t="s">
        <v>596</v>
      </c>
      <c r="F51" s="48">
        <v>3</v>
      </c>
      <c r="G51" s="49">
        <v>250</v>
      </c>
      <c r="H51" s="49" t="s">
        <v>90</v>
      </c>
      <c r="I51" s="99">
        <f t="shared" si="10"/>
        <v>750</v>
      </c>
      <c r="J51" s="116">
        <v>12</v>
      </c>
      <c r="K51" s="86">
        <f>J51*I51+'Budget YR1 DC'!O27</f>
        <v>9241.640000000001</v>
      </c>
      <c r="L51" s="155">
        <f>K51/4</f>
        <v>2310.4100000000003</v>
      </c>
      <c r="M51" s="291">
        <v>1045.1100000000001</v>
      </c>
      <c r="N51" s="155">
        <f>K51/4</f>
        <v>2310.4100000000003</v>
      </c>
      <c r="O51" s="291">
        <v>1387.4799999999998</v>
      </c>
      <c r="P51" s="155">
        <f>K51/4</f>
        <v>2310.4100000000003</v>
      </c>
      <c r="Q51" s="291">
        <v>2077.58</v>
      </c>
      <c r="R51" s="155">
        <f>K51/4</f>
        <v>2310.4100000000003</v>
      </c>
      <c r="S51" s="291">
        <f>SUMIF(Hoja1!B:B,'Budget YR2-4 DC+Hm'!D:D,Hoja1!G:G)</f>
        <v>1901.1599999999999</v>
      </c>
      <c r="T51" s="117">
        <v>12</v>
      </c>
      <c r="U51" s="84">
        <f t="shared" si="12"/>
        <v>9000</v>
      </c>
      <c r="V51" s="116">
        <v>12</v>
      </c>
      <c r="W51" s="86">
        <f t="shared" si="13"/>
        <v>9000</v>
      </c>
      <c r="X51" s="88">
        <f t="shared" si="9"/>
        <v>27241.64</v>
      </c>
      <c r="Y51" s="99" t="s">
        <v>597</v>
      </c>
      <c r="Z51" s="118">
        <v>3</v>
      </c>
      <c r="AA51" s="95">
        <v>4</v>
      </c>
      <c r="AB51" s="95" t="s">
        <v>519</v>
      </c>
      <c r="AC51" s="95" t="s">
        <v>520</v>
      </c>
      <c r="AD51" s="95" t="s">
        <v>595</v>
      </c>
      <c r="AE51" s="95" t="s">
        <v>522</v>
      </c>
      <c r="AF51" s="241" t="s">
        <v>522</v>
      </c>
    </row>
    <row r="52" spans="1:32" s="95" customFormat="1" ht="16.5" customHeight="1">
      <c r="A52" s="63" t="s">
        <v>503</v>
      </c>
      <c r="B52" s="95" t="s">
        <v>28</v>
      </c>
      <c r="C52" s="95" t="s">
        <v>48</v>
      </c>
      <c r="D52" s="276" t="s">
        <v>925</v>
      </c>
      <c r="E52" s="83" t="s">
        <v>598</v>
      </c>
      <c r="F52" s="48">
        <v>1</v>
      </c>
      <c r="G52" s="49">
        <v>150</v>
      </c>
      <c r="H52" s="49" t="s">
        <v>90</v>
      </c>
      <c r="I52" s="99">
        <f t="shared" si="10"/>
        <v>150</v>
      </c>
      <c r="J52" s="116">
        <v>12</v>
      </c>
      <c r="K52" s="86">
        <f t="shared" si="11"/>
        <v>1800</v>
      </c>
      <c r="L52" s="155">
        <f>K52/4</f>
        <v>450</v>
      </c>
      <c r="M52" s="291">
        <v>347.46999999999997</v>
      </c>
      <c r="N52" s="155">
        <f>K52/4</f>
        <v>450</v>
      </c>
      <c r="O52" s="291">
        <v>331.07000000000005</v>
      </c>
      <c r="P52" s="155">
        <f>K52/4</f>
        <v>450</v>
      </c>
      <c r="Q52" s="291">
        <v>550.24</v>
      </c>
      <c r="R52" s="155">
        <f>K52/4</f>
        <v>450</v>
      </c>
      <c r="S52" s="291">
        <f>SUMIF(Hoja1!B:B,'Budget YR2-4 DC+Hm'!D:D,Hoja1!G:G)</f>
        <v>463.88</v>
      </c>
      <c r="T52" s="117">
        <v>12</v>
      </c>
      <c r="U52" s="84">
        <f t="shared" si="12"/>
        <v>1800</v>
      </c>
      <c r="V52" s="116">
        <v>12</v>
      </c>
      <c r="W52" s="86">
        <f t="shared" si="13"/>
        <v>1800</v>
      </c>
      <c r="X52" s="88">
        <f t="shared" si="9"/>
        <v>5400</v>
      </c>
      <c r="Y52" s="99" t="s">
        <v>599</v>
      </c>
      <c r="Z52" s="118">
        <v>3</v>
      </c>
      <c r="AA52" s="95">
        <v>4</v>
      </c>
      <c r="AB52" s="95" t="s">
        <v>519</v>
      </c>
      <c r="AC52" s="95" t="s">
        <v>520</v>
      </c>
      <c r="AD52" s="95" t="s">
        <v>595</v>
      </c>
      <c r="AE52" s="95" t="s">
        <v>522</v>
      </c>
      <c r="AF52" s="241" t="s">
        <v>522</v>
      </c>
    </row>
    <row r="53" spans="1:32" s="95" customFormat="1" ht="16.5" customHeight="1">
      <c r="A53" s="63" t="s">
        <v>503</v>
      </c>
      <c r="B53" s="95" t="s">
        <v>28</v>
      </c>
      <c r="C53" s="95" t="s">
        <v>48</v>
      </c>
      <c r="D53" s="276" t="s">
        <v>926</v>
      </c>
      <c r="E53" s="83" t="s">
        <v>600</v>
      </c>
      <c r="F53" s="48">
        <v>3</v>
      </c>
      <c r="G53" s="49">
        <v>250</v>
      </c>
      <c r="H53" s="49" t="s">
        <v>90</v>
      </c>
      <c r="I53" s="99">
        <f t="shared" si="10"/>
        <v>750</v>
      </c>
      <c r="J53" s="116">
        <v>12</v>
      </c>
      <c r="K53" s="86">
        <f t="shared" si="11"/>
        <v>9000</v>
      </c>
      <c r="L53" s="155">
        <f>K53/4</f>
        <v>2250</v>
      </c>
      <c r="M53" s="291">
        <v>2437.5400000000004</v>
      </c>
      <c r="N53" s="155">
        <f>K53/4</f>
        <v>2250</v>
      </c>
      <c r="O53" s="291">
        <v>2576.120000000001</v>
      </c>
      <c r="P53" s="155">
        <f>K53/4</f>
        <v>2250</v>
      </c>
      <c r="Q53" s="291">
        <v>3266.3999999999996</v>
      </c>
      <c r="R53" s="155">
        <f>K53/4</f>
        <v>2250</v>
      </c>
      <c r="S53" s="291">
        <f>SUMIF(Hoja1!B:B,'Budget YR2-4 DC+Hm'!D:D,Hoja1!G:G)</f>
        <v>1838.88</v>
      </c>
      <c r="T53" s="117">
        <v>12</v>
      </c>
      <c r="U53" s="84">
        <f t="shared" si="12"/>
        <v>9000</v>
      </c>
      <c r="V53" s="116">
        <v>12</v>
      </c>
      <c r="W53" s="86">
        <f t="shared" si="13"/>
        <v>9000</v>
      </c>
      <c r="X53" s="88">
        <f t="shared" si="9"/>
        <v>27000</v>
      </c>
      <c r="Y53" s="99" t="s">
        <v>601</v>
      </c>
      <c r="Z53" s="118">
        <v>3</v>
      </c>
      <c r="AA53" s="95">
        <v>4</v>
      </c>
      <c r="AB53" s="95" t="s">
        <v>519</v>
      </c>
      <c r="AC53" s="95" t="s">
        <v>520</v>
      </c>
      <c r="AD53" s="95" t="s">
        <v>595</v>
      </c>
      <c r="AE53" s="95" t="s">
        <v>524</v>
      </c>
      <c r="AF53" s="95" t="s">
        <v>503</v>
      </c>
    </row>
    <row r="54" spans="1:32" s="95" customFormat="1" ht="21" customHeight="1">
      <c r="A54" s="259" t="s">
        <v>503</v>
      </c>
      <c r="B54" s="95" t="s">
        <v>31</v>
      </c>
      <c r="C54" s="95" t="s">
        <v>854</v>
      </c>
      <c r="D54" s="276" t="s">
        <v>1005</v>
      </c>
      <c r="E54" s="83" t="s">
        <v>867</v>
      </c>
      <c r="F54" s="48">
        <v>1</v>
      </c>
      <c r="G54" s="49">
        <v>55000</v>
      </c>
      <c r="H54" s="49" t="s">
        <v>97</v>
      </c>
      <c r="I54" s="99">
        <f>F54*G54</f>
        <v>55000</v>
      </c>
      <c r="J54" s="116">
        <v>1</v>
      </c>
      <c r="K54" s="86">
        <f>J54*I54</f>
        <v>55000</v>
      </c>
      <c r="L54" s="155">
        <v>55000</v>
      </c>
      <c r="M54" s="291">
        <v>0</v>
      </c>
      <c r="N54" s="155"/>
      <c r="O54" s="291">
        <v>33864.92</v>
      </c>
      <c r="P54" s="155"/>
      <c r="Q54" s="291">
        <v>9597</v>
      </c>
      <c r="R54" s="155"/>
      <c r="S54" s="291">
        <f>SUMIF(Hoja1!B:B,'Budget YR2-4 DC+Hm'!D:D,Hoja1!G:G)</f>
        <v>0</v>
      </c>
      <c r="T54" s="117">
        <v>0</v>
      </c>
      <c r="U54" s="84">
        <f>T54*I54</f>
        <v>0</v>
      </c>
      <c r="V54" s="116">
        <v>0</v>
      </c>
      <c r="W54" s="86">
        <f>V54*I54</f>
        <v>0</v>
      </c>
      <c r="X54" s="88">
        <f>K54+U54+W54</f>
        <v>55000</v>
      </c>
      <c r="Y54" s="99"/>
      <c r="Z54" s="118">
        <v>3</v>
      </c>
      <c r="AA54" s="95" t="s">
        <v>545</v>
      </c>
      <c r="AB54" s="95" t="s">
        <v>519</v>
      </c>
      <c r="AC54" s="95" t="s">
        <v>546</v>
      </c>
      <c r="AD54" s="95" t="s">
        <v>602</v>
      </c>
      <c r="AE54" s="95" t="s">
        <v>522</v>
      </c>
      <c r="AF54" s="259" t="s">
        <v>522</v>
      </c>
    </row>
    <row r="55" spans="1:35" s="95" customFormat="1" ht="21" customHeight="1">
      <c r="A55" s="259" t="s">
        <v>503</v>
      </c>
      <c r="B55" s="95" t="s">
        <v>31</v>
      </c>
      <c r="C55" s="95" t="s">
        <v>854</v>
      </c>
      <c r="D55" s="276" t="s">
        <v>1003</v>
      </c>
      <c r="E55" s="83" t="s">
        <v>868</v>
      </c>
      <c r="F55" s="48">
        <v>1</v>
      </c>
      <c r="G55" s="49">
        <v>55000</v>
      </c>
      <c r="H55" s="49" t="s">
        <v>97</v>
      </c>
      <c r="I55" s="99">
        <f>F55*G55</f>
        <v>55000</v>
      </c>
      <c r="J55" s="116">
        <v>1</v>
      </c>
      <c r="K55" s="86">
        <f>J55*I55</f>
        <v>55000</v>
      </c>
      <c r="L55" s="155">
        <v>55000</v>
      </c>
      <c r="M55" s="291">
        <v>0</v>
      </c>
      <c r="N55" s="155"/>
      <c r="O55" s="291">
        <v>33854.155</v>
      </c>
      <c r="P55" s="155"/>
      <c r="Q55" s="291">
        <v>11157</v>
      </c>
      <c r="R55" s="155"/>
      <c r="S55" s="291">
        <f>SUMIF(Hoja1!B:B,'Budget YR2-4 DC+Hm'!D:D,Hoja1!G:G)</f>
        <v>0</v>
      </c>
      <c r="T55" s="117">
        <v>0</v>
      </c>
      <c r="U55" s="84">
        <f>T55*I55</f>
        <v>0</v>
      </c>
      <c r="V55" s="116">
        <v>0</v>
      </c>
      <c r="W55" s="86">
        <f>V55*I55</f>
        <v>0</v>
      </c>
      <c r="X55" s="88">
        <f>K55+U55+W55</f>
        <v>55000</v>
      </c>
      <c r="Y55" s="99"/>
      <c r="Z55" s="118">
        <v>3</v>
      </c>
      <c r="AA55" s="95" t="s">
        <v>545</v>
      </c>
      <c r="AB55" s="95" t="s">
        <v>519</v>
      </c>
      <c r="AC55" s="95" t="s">
        <v>546</v>
      </c>
      <c r="AD55" s="95" t="s">
        <v>602</v>
      </c>
      <c r="AE55" s="95" t="s">
        <v>524</v>
      </c>
      <c r="AI55" s="95">
        <v>718375</v>
      </c>
    </row>
    <row r="56" spans="1:31" s="95" customFormat="1" ht="16.5" customHeight="1">
      <c r="A56" s="259" t="s">
        <v>503</v>
      </c>
      <c r="B56" s="95" t="s">
        <v>31</v>
      </c>
      <c r="C56" s="95" t="s">
        <v>854</v>
      </c>
      <c r="D56" s="276" t="s">
        <v>1004</v>
      </c>
      <c r="E56" s="83" t="s">
        <v>869</v>
      </c>
      <c r="F56" s="48">
        <v>1</v>
      </c>
      <c r="G56" s="49">
        <v>55000</v>
      </c>
      <c r="H56" s="49" t="s">
        <v>97</v>
      </c>
      <c r="I56" s="99">
        <f>F56*G56</f>
        <v>55000</v>
      </c>
      <c r="J56" s="116">
        <v>1</v>
      </c>
      <c r="K56" s="86">
        <f>J56*I56</f>
        <v>55000</v>
      </c>
      <c r="L56" s="155">
        <v>55000</v>
      </c>
      <c r="M56" s="291">
        <v>0</v>
      </c>
      <c r="N56" s="155"/>
      <c r="O56" s="291">
        <v>33854.155</v>
      </c>
      <c r="P56" s="155"/>
      <c r="Q56" s="291">
        <v>14730</v>
      </c>
      <c r="R56" s="155"/>
      <c r="S56" s="291">
        <f>SUMIF(Hoja1!B:B,'Budget YR2-4 DC+Hm'!D:D,Hoja1!G:G)</f>
        <v>0</v>
      </c>
      <c r="T56" s="117">
        <v>0</v>
      </c>
      <c r="U56" s="84">
        <f>T56*I56</f>
        <v>0</v>
      </c>
      <c r="V56" s="116">
        <v>0</v>
      </c>
      <c r="W56" s="86">
        <f>V56*I56</f>
        <v>0</v>
      </c>
      <c r="X56" s="88">
        <f>K56+U56+W56</f>
        <v>55000</v>
      </c>
      <c r="Y56" s="99"/>
      <c r="Z56" s="118">
        <v>3</v>
      </c>
      <c r="AA56" s="95" t="s">
        <v>545</v>
      </c>
      <c r="AB56" s="95" t="s">
        <v>519</v>
      </c>
      <c r="AC56" s="95" t="s">
        <v>546</v>
      </c>
      <c r="AD56" s="95" t="s">
        <v>602</v>
      </c>
      <c r="AE56" s="95" t="s">
        <v>526</v>
      </c>
    </row>
    <row r="57" spans="1:32" s="95" customFormat="1" ht="21" customHeight="1">
      <c r="A57" s="63" t="s">
        <v>503</v>
      </c>
      <c r="B57" s="95" t="s">
        <v>31</v>
      </c>
      <c r="C57" s="95" t="s">
        <v>59</v>
      </c>
      <c r="D57" s="276" t="s">
        <v>1005</v>
      </c>
      <c r="E57" s="83" t="s">
        <v>867</v>
      </c>
      <c r="F57" s="48">
        <v>1</v>
      </c>
      <c r="G57" s="49">
        <v>55000</v>
      </c>
      <c r="H57" s="49" t="s">
        <v>97</v>
      </c>
      <c r="I57" s="99">
        <f t="shared" si="10"/>
        <v>55000</v>
      </c>
      <c r="J57" s="116">
        <v>1</v>
      </c>
      <c r="K57" s="86">
        <f t="shared" si="11"/>
        <v>55000</v>
      </c>
      <c r="L57" s="155">
        <v>55000</v>
      </c>
      <c r="M57" s="291">
        <v>0</v>
      </c>
      <c r="N57" s="155"/>
      <c r="O57" s="291">
        <v>33864.92</v>
      </c>
      <c r="P57" s="155"/>
      <c r="Q57" s="291">
        <v>9597</v>
      </c>
      <c r="R57" s="155"/>
      <c r="S57" s="291">
        <f>SUMIF(Hoja1!B:B,'Budget YR2-4 DC+Hm'!D:D,Hoja1!G:G)</f>
        <v>0</v>
      </c>
      <c r="T57" s="117">
        <v>0</v>
      </c>
      <c r="U57" s="84">
        <f t="shared" si="12"/>
        <v>0</v>
      </c>
      <c r="V57" s="116">
        <v>0</v>
      </c>
      <c r="W57" s="86">
        <f t="shared" si="13"/>
        <v>0</v>
      </c>
      <c r="X57" s="88">
        <f t="shared" si="9"/>
        <v>55000</v>
      </c>
      <c r="Y57" s="99"/>
      <c r="Z57" s="118">
        <v>3</v>
      </c>
      <c r="AA57" s="95" t="s">
        <v>545</v>
      </c>
      <c r="AB57" s="95" t="s">
        <v>519</v>
      </c>
      <c r="AC57" s="95" t="s">
        <v>546</v>
      </c>
      <c r="AD57" s="95" t="s">
        <v>602</v>
      </c>
      <c r="AE57" s="95" t="s">
        <v>522</v>
      </c>
      <c r="AF57" s="241" t="s">
        <v>522</v>
      </c>
    </row>
    <row r="58" spans="1:35" s="95" customFormat="1" ht="21" customHeight="1">
      <c r="A58" s="63" t="s">
        <v>503</v>
      </c>
      <c r="B58" s="95" t="s">
        <v>31</v>
      </c>
      <c r="C58" s="95" t="s">
        <v>59</v>
      </c>
      <c r="D58" s="276" t="s">
        <v>1003</v>
      </c>
      <c r="E58" s="83" t="s">
        <v>868</v>
      </c>
      <c r="F58" s="48">
        <v>1</v>
      </c>
      <c r="G58" s="49">
        <v>55000</v>
      </c>
      <c r="H58" s="49" t="s">
        <v>97</v>
      </c>
      <c r="I58" s="99">
        <f t="shared" si="10"/>
        <v>55000</v>
      </c>
      <c r="J58" s="116">
        <v>1</v>
      </c>
      <c r="K58" s="86">
        <f t="shared" si="11"/>
        <v>55000</v>
      </c>
      <c r="L58" s="155">
        <v>55000</v>
      </c>
      <c r="M58" s="291">
        <v>0</v>
      </c>
      <c r="N58" s="155"/>
      <c r="O58" s="291">
        <v>33854.155</v>
      </c>
      <c r="P58" s="155"/>
      <c r="Q58" s="291">
        <v>11157</v>
      </c>
      <c r="R58" s="155"/>
      <c r="S58" s="291">
        <f>SUMIF(Hoja1!B:B,'Budget YR2-4 DC+Hm'!D:D,Hoja1!G:G)</f>
        <v>0</v>
      </c>
      <c r="T58" s="117">
        <v>0</v>
      </c>
      <c r="U58" s="84">
        <f t="shared" si="12"/>
        <v>0</v>
      </c>
      <c r="V58" s="116">
        <v>0</v>
      </c>
      <c r="W58" s="86">
        <f t="shared" si="13"/>
        <v>0</v>
      </c>
      <c r="X58" s="88">
        <f t="shared" si="9"/>
        <v>55000</v>
      </c>
      <c r="Y58" s="99"/>
      <c r="Z58" s="118">
        <v>3</v>
      </c>
      <c r="AA58" s="95" t="s">
        <v>545</v>
      </c>
      <c r="AB58" s="95" t="s">
        <v>519</v>
      </c>
      <c r="AC58" s="95" t="s">
        <v>546</v>
      </c>
      <c r="AD58" s="95" t="s">
        <v>602</v>
      </c>
      <c r="AE58" s="95" t="s">
        <v>524</v>
      </c>
      <c r="AI58" s="95">
        <v>718375</v>
      </c>
    </row>
    <row r="59" spans="1:31" s="95" customFormat="1" ht="21" customHeight="1">
      <c r="A59" s="63" t="s">
        <v>503</v>
      </c>
      <c r="B59" s="95" t="s">
        <v>31</v>
      </c>
      <c r="C59" s="95" t="s">
        <v>59</v>
      </c>
      <c r="D59" s="276" t="s">
        <v>1004</v>
      </c>
      <c r="E59" s="83" t="s">
        <v>869</v>
      </c>
      <c r="F59" s="48">
        <v>1</v>
      </c>
      <c r="G59" s="49">
        <v>55000</v>
      </c>
      <c r="H59" s="49" t="s">
        <v>97</v>
      </c>
      <c r="I59" s="99">
        <f t="shared" si="10"/>
        <v>55000</v>
      </c>
      <c r="J59" s="116">
        <v>1</v>
      </c>
      <c r="K59" s="86">
        <f t="shared" si="11"/>
        <v>55000</v>
      </c>
      <c r="L59" s="155">
        <v>55000</v>
      </c>
      <c r="M59" s="291">
        <v>0</v>
      </c>
      <c r="N59" s="155"/>
      <c r="O59" s="291">
        <v>33854.155</v>
      </c>
      <c r="P59" s="155"/>
      <c r="Q59" s="291">
        <v>14730</v>
      </c>
      <c r="R59" s="155"/>
      <c r="S59" s="291">
        <f>SUMIF(Hoja1!B:B,'Budget YR2-4 DC+Hm'!D:D,Hoja1!G:G)</f>
        <v>0</v>
      </c>
      <c r="T59" s="117">
        <v>0</v>
      </c>
      <c r="U59" s="84">
        <f t="shared" si="12"/>
        <v>0</v>
      </c>
      <c r="V59" s="116">
        <v>0</v>
      </c>
      <c r="W59" s="86">
        <f t="shared" si="13"/>
        <v>0</v>
      </c>
      <c r="X59" s="88">
        <f t="shared" si="9"/>
        <v>55000</v>
      </c>
      <c r="Y59" s="99"/>
      <c r="Z59" s="118">
        <v>3</v>
      </c>
      <c r="AA59" s="95" t="s">
        <v>545</v>
      </c>
      <c r="AB59" s="95" t="s">
        <v>519</v>
      </c>
      <c r="AC59" s="95" t="s">
        <v>546</v>
      </c>
      <c r="AD59" s="95" t="s">
        <v>602</v>
      </c>
      <c r="AE59" s="95" t="s">
        <v>526</v>
      </c>
    </row>
    <row r="60" spans="1:31" s="95" customFormat="1" ht="21" customHeight="1">
      <c r="A60" s="63" t="s">
        <v>503</v>
      </c>
      <c r="B60" s="95" t="s">
        <v>28</v>
      </c>
      <c r="C60" s="95" t="s">
        <v>48</v>
      </c>
      <c r="D60" s="276" t="s">
        <v>929</v>
      </c>
      <c r="E60" s="83" t="s">
        <v>603</v>
      </c>
      <c r="F60" s="48">
        <v>3</v>
      </c>
      <c r="G60" s="49">
        <v>6000</v>
      </c>
      <c r="H60" s="49" t="s">
        <v>97</v>
      </c>
      <c r="I60" s="99">
        <f>F60*G60</f>
        <v>18000</v>
      </c>
      <c r="J60" s="116">
        <v>1</v>
      </c>
      <c r="K60" s="86">
        <f>J60*I60+'Budget YR1 DC'!O31</f>
        <v>18336</v>
      </c>
      <c r="L60" s="155">
        <f>K60/4</f>
        <v>4584</v>
      </c>
      <c r="M60" s="291">
        <v>650.8</v>
      </c>
      <c r="N60" s="155">
        <f>K60/4</f>
        <v>4584</v>
      </c>
      <c r="O60" s="291">
        <v>20.61</v>
      </c>
      <c r="P60" s="155">
        <f>K60/4</f>
        <v>4584</v>
      </c>
      <c r="Q60" s="291">
        <v>0</v>
      </c>
      <c r="R60" s="155">
        <f>K60/4</f>
        <v>4584</v>
      </c>
      <c r="S60" s="291">
        <f>SUMIF(Hoja1!B:B,'Budget YR2-4 DC+Hm'!D:D,Hoja1!G:G)</f>
        <v>141.14</v>
      </c>
      <c r="T60" s="117">
        <v>1</v>
      </c>
      <c r="U60" s="84">
        <f t="shared" si="12"/>
        <v>18000</v>
      </c>
      <c r="V60" s="116">
        <v>1</v>
      </c>
      <c r="W60" s="86">
        <f t="shared" si="13"/>
        <v>18000</v>
      </c>
      <c r="X60" s="88">
        <f t="shared" si="9"/>
        <v>54336</v>
      </c>
      <c r="Y60" s="99" t="s">
        <v>604</v>
      </c>
      <c r="Z60" s="118">
        <v>3</v>
      </c>
      <c r="AA60" s="95">
        <v>4</v>
      </c>
      <c r="AB60" s="95" t="s">
        <v>519</v>
      </c>
      <c r="AC60" s="95" t="s">
        <v>520</v>
      </c>
      <c r="AD60" s="95" t="s">
        <v>595</v>
      </c>
      <c r="AE60" s="95" t="s">
        <v>522</v>
      </c>
    </row>
    <row r="61" spans="1:31" s="95" customFormat="1" ht="19.5" customHeight="1">
      <c r="A61" s="63" t="s">
        <v>503</v>
      </c>
      <c r="B61" s="95" t="s">
        <v>28</v>
      </c>
      <c r="C61" s="95" t="s">
        <v>48</v>
      </c>
      <c r="D61" s="276" t="s">
        <v>927</v>
      </c>
      <c r="E61" s="83" t="s">
        <v>605</v>
      </c>
      <c r="F61" s="48">
        <v>1</v>
      </c>
      <c r="G61" s="49">
        <v>500</v>
      </c>
      <c r="H61" s="49" t="s">
        <v>90</v>
      </c>
      <c r="I61" s="99">
        <f t="shared" si="10"/>
        <v>500</v>
      </c>
      <c r="J61" s="116">
        <v>10</v>
      </c>
      <c r="K61" s="86">
        <f t="shared" si="11"/>
        <v>5000</v>
      </c>
      <c r="L61" s="155">
        <f>K61/4</f>
        <v>1250</v>
      </c>
      <c r="M61" s="291">
        <v>0</v>
      </c>
      <c r="N61" s="155">
        <f>K61/4</f>
        <v>1250</v>
      </c>
      <c r="O61" s="291">
        <v>0</v>
      </c>
      <c r="P61" s="155">
        <f>K61/4</f>
        <v>1250</v>
      </c>
      <c r="Q61" s="291">
        <v>0</v>
      </c>
      <c r="R61" s="155">
        <f>K61/4</f>
        <v>1250</v>
      </c>
      <c r="S61" s="291">
        <f>SUMIF(Hoja1!B:B,'Budget YR2-4 DC+Hm'!D:D,Hoja1!G:G)</f>
        <v>0</v>
      </c>
      <c r="T61" s="117">
        <v>12</v>
      </c>
      <c r="U61" s="84">
        <f t="shared" si="12"/>
        <v>6000</v>
      </c>
      <c r="V61" s="116">
        <v>12</v>
      </c>
      <c r="W61" s="86">
        <f t="shared" si="13"/>
        <v>6000</v>
      </c>
      <c r="X61" s="88">
        <f t="shared" si="9"/>
        <v>17000</v>
      </c>
      <c r="Y61" s="99" t="s">
        <v>606</v>
      </c>
      <c r="Z61" s="118">
        <v>3</v>
      </c>
      <c r="AA61" s="95">
        <v>4</v>
      </c>
      <c r="AB61" s="95" t="s">
        <v>519</v>
      </c>
      <c r="AC61" s="95" t="s">
        <v>520</v>
      </c>
      <c r="AD61" s="63" t="s">
        <v>521</v>
      </c>
      <c r="AE61" s="95" t="s">
        <v>522</v>
      </c>
    </row>
    <row r="62" spans="1:31" s="95" customFormat="1" ht="20.25" customHeight="1">
      <c r="A62" s="63" t="s">
        <v>503</v>
      </c>
      <c r="B62" s="95" t="s">
        <v>28</v>
      </c>
      <c r="C62" s="95" t="s">
        <v>48</v>
      </c>
      <c r="D62" s="276" t="s">
        <v>928</v>
      </c>
      <c r="E62" s="83" t="s">
        <v>607</v>
      </c>
      <c r="F62" s="48">
        <v>1</v>
      </c>
      <c r="G62" s="49">
        <v>500</v>
      </c>
      <c r="H62" s="49" t="s">
        <v>90</v>
      </c>
      <c r="I62" s="99">
        <f t="shared" si="10"/>
        <v>500</v>
      </c>
      <c r="J62" s="116">
        <v>10</v>
      </c>
      <c r="K62" s="86">
        <f t="shared" si="11"/>
        <v>5000</v>
      </c>
      <c r="L62" s="155">
        <f>K62/4</f>
        <v>1250</v>
      </c>
      <c r="M62" s="291">
        <v>0</v>
      </c>
      <c r="N62" s="155">
        <f>K62/4</f>
        <v>1250</v>
      </c>
      <c r="O62" s="291">
        <v>0</v>
      </c>
      <c r="P62" s="155">
        <f>K62/4</f>
        <v>1250</v>
      </c>
      <c r="Q62" s="291">
        <v>0</v>
      </c>
      <c r="R62" s="155">
        <f>K62/4</f>
        <v>1250</v>
      </c>
      <c r="S62" s="291">
        <f>SUMIF(Hoja1!B:B,'Budget YR2-4 DC+Hm'!D:D,Hoja1!G:G)</f>
        <v>2109.07</v>
      </c>
      <c r="T62" s="117">
        <v>12</v>
      </c>
      <c r="U62" s="84">
        <f t="shared" si="12"/>
        <v>6000</v>
      </c>
      <c r="V62" s="116">
        <v>12</v>
      </c>
      <c r="W62" s="86">
        <f t="shared" si="13"/>
        <v>6000</v>
      </c>
      <c r="X62" s="88">
        <f t="shared" si="9"/>
        <v>17000</v>
      </c>
      <c r="Y62" s="99" t="s">
        <v>608</v>
      </c>
      <c r="Z62" s="118">
        <v>3</v>
      </c>
      <c r="AA62" s="95">
        <v>4</v>
      </c>
      <c r="AB62" s="95" t="s">
        <v>519</v>
      </c>
      <c r="AC62" s="95" t="s">
        <v>520</v>
      </c>
      <c r="AD62" s="63" t="s">
        <v>521</v>
      </c>
      <c r="AE62" s="95" t="s">
        <v>522</v>
      </c>
    </row>
    <row r="63" spans="1:31" s="95" customFormat="1" ht="20.25" customHeight="1">
      <c r="A63" s="63" t="s">
        <v>503</v>
      </c>
      <c r="B63" s="95" t="s">
        <v>28</v>
      </c>
      <c r="C63" s="95" t="s">
        <v>48</v>
      </c>
      <c r="D63" s="276" t="s">
        <v>930</v>
      </c>
      <c r="E63" s="83" t="s">
        <v>609</v>
      </c>
      <c r="F63" s="48">
        <v>1</v>
      </c>
      <c r="G63" s="49">
        <v>500</v>
      </c>
      <c r="H63" s="49" t="s">
        <v>90</v>
      </c>
      <c r="I63" s="99">
        <f t="shared" si="10"/>
        <v>500</v>
      </c>
      <c r="J63" s="116">
        <v>10</v>
      </c>
      <c r="K63" s="86">
        <f t="shared" si="11"/>
        <v>5000</v>
      </c>
      <c r="L63" s="155">
        <f>K63/4</f>
        <v>1250</v>
      </c>
      <c r="M63" s="291">
        <v>0</v>
      </c>
      <c r="N63" s="155">
        <f>K63/4</f>
        <v>1250</v>
      </c>
      <c r="O63" s="291">
        <v>0</v>
      </c>
      <c r="P63" s="155">
        <f>K63/4</f>
        <v>1250</v>
      </c>
      <c r="Q63" s="291">
        <v>0</v>
      </c>
      <c r="R63" s="155">
        <f>K63/4</f>
        <v>1250</v>
      </c>
      <c r="S63" s="291">
        <f>SUMIF(Hoja1!B:B,'Budget YR2-4 DC+Hm'!D:D,Hoja1!G:G)</f>
        <v>0</v>
      </c>
      <c r="T63" s="117">
        <v>12</v>
      </c>
      <c r="U63" s="84">
        <f t="shared" si="12"/>
        <v>6000</v>
      </c>
      <c r="V63" s="116">
        <v>12</v>
      </c>
      <c r="W63" s="86">
        <f t="shared" si="13"/>
        <v>6000</v>
      </c>
      <c r="X63" s="88">
        <f t="shared" si="9"/>
        <v>17000</v>
      </c>
      <c r="Y63" s="99" t="s">
        <v>608</v>
      </c>
      <c r="Z63" s="118">
        <v>3</v>
      </c>
      <c r="AA63" s="95">
        <v>4</v>
      </c>
      <c r="AB63" s="95" t="s">
        <v>519</v>
      </c>
      <c r="AC63" s="95" t="s">
        <v>520</v>
      </c>
      <c r="AD63" s="63" t="s">
        <v>521</v>
      </c>
      <c r="AE63" s="95" t="s">
        <v>524</v>
      </c>
    </row>
    <row r="64" spans="1:31" s="95" customFormat="1" ht="20.25" customHeight="1">
      <c r="A64" s="63" t="s">
        <v>503</v>
      </c>
      <c r="B64" s="95" t="s">
        <v>28</v>
      </c>
      <c r="C64" s="95" t="s">
        <v>48</v>
      </c>
      <c r="D64" s="276" t="s">
        <v>931</v>
      </c>
      <c r="E64" s="83" t="s">
        <v>610</v>
      </c>
      <c r="F64" s="48">
        <v>1</v>
      </c>
      <c r="G64" s="49">
        <v>500</v>
      </c>
      <c r="H64" s="49" t="s">
        <v>90</v>
      </c>
      <c r="I64" s="99">
        <f t="shared" si="10"/>
        <v>500</v>
      </c>
      <c r="J64" s="116">
        <v>10</v>
      </c>
      <c r="K64" s="86">
        <f t="shared" si="11"/>
        <v>5000</v>
      </c>
      <c r="L64" s="155">
        <f>K64/4</f>
        <v>1250</v>
      </c>
      <c r="M64" s="291">
        <v>0</v>
      </c>
      <c r="N64" s="155">
        <f>K64/4</f>
        <v>1250</v>
      </c>
      <c r="O64" s="291">
        <v>0</v>
      </c>
      <c r="P64" s="155">
        <f>K64/4</f>
        <v>1250</v>
      </c>
      <c r="Q64" s="291">
        <v>0</v>
      </c>
      <c r="R64" s="155">
        <f>K64/4</f>
        <v>1250</v>
      </c>
      <c r="S64" s="291">
        <f>SUMIF(Hoja1!B:B,'Budget YR2-4 DC+Hm'!D:D,Hoja1!G:G)</f>
        <v>528.44</v>
      </c>
      <c r="T64" s="117">
        <v>12</v>
      </c>
      <c r="U64" s="84">
        <f t="shared" si="12"/>
        <v>6000</v>
      </c>
      <c r="V64" s="116">
        <v>12</v>
      </c>
      <c r="W64" s="86">
        <f t="shared" si="13"/>
        <v>6000</v>
      </c>
      <c r="X64" s="88">
        <f t="shared" si="9"/>
        <v>17000</v>
      </c>
      <c r="Y64" s="99" t="s">
        <v>608</v>
      </c>
      <c r="Z64" s="118">
        <v>3</v>
      </c>
      <c r="AA64" s="95">
        <v>4</v>
      </c>
      <c r="AB64" s="95" t="s">
        <v>519</v>
      </c>
      <c r="AC64" s="95" t="s">
        <v>520</v>
      </c>
      <c r="AD64" s="63" t="s">
        <v>521</v>
      </c>
      <c r="AE64" s="95" t="s">
        <v>526</v>
      </c>
    </row>
    <row r="65" spans="1:31" ht="26.25" customHeight="1">
      <c r="A65" s="63" t="s">
        <v>503</v>
      </c>
      <c r="B65" s="95" t="s">
        <v>28</v>
      </c>
      <c r="C65" s="95" t="s">
        <v>48</v>
      </c>
      <c r="D65" s="276" t="s">
        <v>932</v>
      </c>
      <c r="E65" s="83" t="s">
        <v>611</v>
      </c>
      <c r="F65" s="48">
        <v>1</v>
      </c>
      <c r="G65" s="47">
        <v>1000</v>
      </c>
      <c r="H65" s="47" t="s">
        <v>97</v>
      </c>
      <c r="I65" s="99">
        <f t="shared" si="10"/>
        <v>1000</v>
      </c>
      <c r="J65" s="85">
        <v>12</v>
      </c>
      <c r="K65" s="86">
        <f t="shared" si="11"/>
        <v>12000</v>
      </c>
      <c r="L65" s="155">
        <v>4000</v>
      </c>
      <c r="M65" s="291">
        <v>3528.99</v>
      </c>
      <c r="N65" s="155">
        <v>6000</v>
      </c>
      <c r="O65" s="291">
        <v>0</v>
      </c>
      <c r="P65" s="155">
        <v>2000</v>
      </c>
      <c r="Q65" s="291">
        <v>977.5</v>
      </c>
      <c r="R65" s="155"/>
      <c r="S65" s="291">
        <f>SUMIF(Hoja1!B:B,'Budget YR2-4 DC+Hm'!D:D,Hoja1!G:G)</f>
        <v>284.06</v>
      </c>
      <c r="T65" s="87">
        <v>12</v>
      </c>
      <c r="U65" s="84">
        <f t="shared" si="12"/>
        <v>12000</v>
      </c>
      <c r="V65" s="85">
        <v>12</v>
      </c>
      <c r="W65" s="86">
        <f t="shared" si="13"/>
        <v>12000</v>
      </c>
      <c r="X65" s="88">
        <f t="shared" si="9"/>
        <v>36000</v>
      </c>
      <c r="Y65" s="89" t="s">
        <v>612</v>
      </c>
      <c r="Z65" s="118">
        <v>3</v>
      </c>
      <c r="AA65" s="95">
        <v>4</v>
      </c>
      <c r="AB65" s="95" t="s">
        <v>519</v>
      </c>
      <c r="AC65" s="95" t="s">
        <v>613</v>
      </c>
      <c r="AD65" s="95" t="s">
        <v>595</v>
      </c>
      <c r="AE65" s="63" t="s">
        <v>522</v>
      </c>
    </row>
    <row r="66" spans="1:31" ht="26.25" customHeight="1">
      <c r="A66" s="63" t="s">
        <v>503</v>
      </c>
      <c r="B66" s="95" t="s">
        <v>28</v>
      </c>
      <c r="C66" s="95" t="s">
        <v>48</v>
      </c>
      <c r="D66" s="276" t="s">
        <v>933</v>
      </c>
      <c r="E66" s="83" t="s">
        <v>614</v>
      </c>
      <c r="F66" s="48">
        <v>1</v>
      </c>
      <c r="G66" s="47">
        <v>1000</v>
      </c>
      <c r="H66" s="47" t="s">
        <v>97</v>
      </c>
      <c r="I66" s="99">
        <f t="shared" si="10"/>
        <v>1000</v>
      </c>
      <c r="J66" s="85">
        <v>12</v>
      </c>
      <c r="K66" s="86">
        <f t="shared" si="11"/>
        <v>12000</v>
      </c>
      <c r="L66" s="155">
        <v>4000</v>
      </c>
      <c r="M66" s="291">
        <v>5.11</v>
      </c>
      <c r="N66" s="155">
        <v>6000</v>
      </c>
      <c r="O66" s="291">
        <v>542.17</v>
      </c>
      <c r="P66" s="155">
        <v>2000</v>
      </c>
      <c r="Q66" s="291">
        <v>2149.06</v>
      </c>
      <c r="R66" s="155"/>
      <c r="S66" s="291">
        <f>SUMIF(Hoja1!B:B,'Budget YR2-4 DC+Hm'!D:D,Hoja1!G:G)</f>
        <v>4906.66</v>
      </c>
      <c r="T66" s="87">
        <v>12</v>
      </c>
      <c r="U66" s="84">
        <f t="shared" si="12"/>
        <v>12000</v>
      </c>
      <c r="V66" s="85">
        <v>12</v>
      </c>
      <c r="W66" s="86">
        <f t="shared" si="13"/>
        <v>12000</v>
      </c>
      <c r="X66" s="88">
        <f t="shared" si="9"/>
        <v>36000</v>
      </c>
      <c r="Y66" s="89" t="s">
        <v>612</v>
      </c>
      <c r="Z66" s="118">
        <v>3</v>
      </c>
      <c r="AA66" s="95">
        <v>4</v>
      </c>
      <c r="AB66" s="95" t="s">
        <v>519</v>
      </c>
      <c r="AC66" s="95" t="s">
        <v>613</v>
      </c>
      <c r="AD66" s="95" t="s">
        <v>595</v>
      </c>
      <c r="AE66" s="63" t="s">
        <v>524</v>
      </c>
    </row>
    <row r="67" spans="1:31" ht="26.25" customHeight="1">
      <c r="A67" s="63" t="s">
        <v>503</v>
      </c>
      <c r="B67" s="95" t="s">
        <v>28</v>
      </c>
      <c r="C67" s="95" t="s">
        <v>48</v>
      </c>
      <c r="D67" s="276" t="s">
        <v>934</v>
      </c>
      <c r="E67" s="83" t="s">
        <v>615</v>
      </c>
      <c r="F67" s="48">
        <v>1</v>
      </c>
      <c r="G67" s="47">
        <v>1000</v>
      </c>
      <c r="H67" s="47" t="s">
        <v>97</v>
      </c>
      <c r="I67" s="99">
        <f t="shared" si="10"/>
        <v>1000</v>
      </c>
      <c r="J67" s="85">
        <v>12</v>
      </c>
      <c r="K67" s="86">
        <f t="shared" si="11"/>
        <v>12000</v>
      </c>
      <c r="L67" s="155">
        <v>4000</v>
      </c>
      <c r="M67" s="291">
        <v>477.3</v>
      </c>
      <c r="N67" s="155">
        <v>6000</v>
      </c>
      <c r="O67" s="291">
        <v>408.55000000000007</v>
      </c>
      <c r="P67" s="155">
        <v>2000</v>
      </c>
      <c r="Q67" s="291">
        <v>196.48</v>
      </c>
      <c r="R67" s="155"/>
      <c r="S67" s="291">
        <f>SUMIF(Hoja1!B:B,'Budget YR2-4 DC+Hm'!D:D,Hoja1!G:G)</f>
        <v>864.61</v>
      </c>
      <c r="T67" s="87">
        <v>12</v>
      </c>
      <c r="U67" s="84">
        <f t="shared" si="12"/>
        <v>12000</v>
      </c>
      <c r="V67" s="85">
        <v>12</v>
      </c>
      <c r="W67" s="86">
        <f t="shared" si="13"/>
        <v>12000</v>
      </c>
      <c r="X67" s="88">
        <f t="shared" si="9"/>
        <v>36000</v>
      </c>
      <c r="Y67" s="89" t="s">
        <v>612</v>
      </c>
      <c r="Z67" s="118">
        <v>3</v>
      </c>
      <c r="AA67" s="95">
        <v>4</v>
      </c>
      <c r="AB67" s="95" t="s">
        <v>519</v>
      </c>
      <c r="AC67" s="95" t="s">
        <v>613</v>
      </c>
      <c r="AD67" s="95" t="s">
        <v>595</v>
      </c>
      <c r="AE67" s="63" t="s">
        <v>526</v>
      </c>
    </row>
    <row r="68" spans="1:31" ht="14.25" customHeight="1">
      <c r="A68" s="63" t="s">
        <v>503</v>
      </c>
      <c r="B68" s="95" t="s">
        <v>28</v>
      </c>
      <c r="C68" s="95" t="s">
        <v>48</v>
      </c>
      <c r="D68" s="276" t="s">
        <v>935</v>
      </c>
      <c r="E68" s="83" t="s">
        <v>616</v>
      </c>
      <c r="F68" s="48">
        <v>1</v>
      </c>
      <c r="G68" s="47">
        <v>1000</v>
      </c>
      <c r="H68" s="47" t="s">
        <v>97</v>
      </c>
      <c r="I68" s="99">
        <f t="shared" si="10"/>
        <v>1000</v>
      </c>
      <c r="J68" s="85">
        <v>12</v>
      </c>
      <c r="K68" s="86">
        <f>J68*I68+'Budget YR1 DC'!O29</f>
        <v>13000</v>
      </c>
      <c r="L68" s="155">
        <v>5000</v>
      </c>
      <c r="M68" s="291">
        <v>0</v>
      </c>
      <c r="N68" s="155">
        <v>6000</v>
      </c>
      <c r="O68" s="291">
        <v>0</v>
      </c>
      <c r="P68" s="155">
        <v>2000</v>
      </c>
      <c r="Q68" s="291">
        <v>63.05</v>
      </c>
      <c r="R68" s="155"/>
      <c r="S68" s="291">
        <f>SUMIF(Hoja1!B:B,'Budget YR2-4 DC+Hm'!D:D,Hoja1!G:G)</f>
        <v>37.44</v>
      </c>
      <c r="T68" s="87">
        <v>12</v>
      </c>
      <c r="U68" s="84">
        <f t="shared" si="12"/>
        <v>12000</v>
      </c>
      <c r="V68" s="85">
        <v>12</v>
      </c>
      <c r="W68" s="86">
        <f t="shared" si="13"/>
        <v>12000</v>
      </c>
      <c r="X68" s="88">
        <f t="shared" si="9"/>
        <v>37000</v>
      </c>
      <c r="Y68" s="89" t="s">
        <v>617</v>
      </c>
      <c r="Z68" s="118">
        <v>3</v>
      </c>
      <c r="AA68" s="95">
        <v>4</v>
      </c>
      <c r="AB68" s="95" t="s">
        <v>519</v>
      </c>
      <c r="AC68" s="95" t="s">
        <v>613</v>
      </c>
      <c r="AD68" s="95" t="s">
        <v>595</v>
      </c>
      <c r="AE68" s="63" t="s">
        <v>522</v>
      </c>
    </row>
    <row r="69" spans="1:31" ht="14.25" customHeight="1">
      <c r="A69" s="63" t="s">
        <v>503</v>
      </c>
      <c r="B69" s="95" t="s">
        <v>28</v>
      </c>
      <c r="C69" s="95" t="s">
        <v>48</v>
      </c>
      <c r="D69" s="276" t="s">
        <v>936</v>
      </c>
      <c r="E69" s="83" t="s">
        <v>618</v>
      </c>
      <c r="F69" s="48">
        <v>1</v>
      </c>
      <c r="G69" s="47">
        <v>1000</v>
      </c>
      <c r="H69" s="47" t="s">
        <v>97</v>
      </c>
      <c r="I69" s="99">
        <f t="shared" si="10"/>
        <v>1000</v>
      </c>
      <c r="J69" s="85">
        <v>12</v>
      </c>
      <c r="K69" s="86">
        <f t="shared" si="11"/>
        <v>12000</v>
      </c>
      <c r="L69" s="155">
        <v>4000</v>
      </c>
      <c r="M69" s="291">
        <v>0</v>
      </c>
      <c r="N69" s="155">
        <v>6000</v>
      </c>
      <c r="O69" s="291">
        <v>0</v>
      </c>
      <c r="P69" s="155">
        <v>2000</v>
      </c>
      <c r="Q69" s="291">
        <v>101.7</v>
      </c>
      <c r="R69" s="155"/>
      <c r="S69" s="291">
        <f>SUMIF(Hoja1!B:B,'Budget YR2-4 DC+Hm'!D:D,Hoja1!G:G)</f>
        <v>87.34</v>
      </c>
      <c r="T69" s="87">
        <v>12</v>
      </c>
      <c r="U69" s="84">
        <f t="shared" si="12"/>
        <v>12000</v>
      </c>
      <c r="V69" s="85">
        <v>12</v>
      </c>
      <c r="W69" s="86">
        <f t="shared" si="13"/>
        <v>12000</v>
      </c>
      <c r="X69" s="88">
        <f t="shared" si="9"/>
        <v>36000</v>
      </c>
      <c r="Y69" s="89" t="s">
        <v>617</v>
      </c>
      <c r="Z69" s="118">
        <v>3</v>
      </c>
      <c r="AA69" s="95">
        <v>4</v>
      </c>
      <c r="AB69" s="95" t="s">
        <v>519</v>
      </c>
      <c r="AC69" s="95" t="s">
        <v>613</v>
      </c>
      <c r="AD69" s="95" t="s">
        <v>595</v>
      </c>
      <c r="AE69" s="63" t="s">
        <v>524</v>
      </c>
    </row>
    <row r="70" spans="1:31" ht="14.25" customHeight="1">
      <c r="A70" s="63" t="s">
        <v>503</v>
      </c>
      <c r="B70" s="95" t="s">
        <v>28</v>
      </c>
      <c r="C70" s="95" t="s">
        <v>48</v>
      </c>
      <c r="D70" s="276" t="s">
        <v>937</v>
      </c>
      <c r="E70" s="83" t="s">
        <v>619</v>
      </c>
      <c r="F70" s="48">
        <v>1</v>
      </c>
      <c r="G70" s="47">
        <v>1000</v>
      </c>
      <c r="H70" s="47" t="s">
        <v>97</v>
      </c>
      <c r="I70" s="99">
        <f t="shared" si="10"/>
        <v>1000</v>
      </c>
      <c r="J70" s="85">
        <v>12</v>
      </c>
      <c r="K70" s="86">
        <f t="shared" si="11"/>
        <v>12000</v>
      </c>
      <c r="L70" s="155">
        <v>4000</v>
      </c>
      <c r="M70" s="291">
        <v>152.54</v>
      </c>
      <c r="N70" s="155">
        <v>6000</v>
      </c>
      <c r="O70" s="291">
        <v>399.66999999999996</v>
      </c>
      <c r="P70" s="155">
        <v>2000</v>
      </c>
      <c r="Q70" s="291">
        <v>0</v>
      </c>
      <c r="R70" s="155"/>
      <c r="S70" s="291">
        <f>SUMIF(Hoja1!B:B,'Budget YR2-4 DC+Hm'!D:D,Hoja1!G:G)</f>
        <v>0</v>
      </c>
      <c r="T70" s="87">
        <v>12</v>
      </c>
      <c r="U70" s="84">
        <f t="shared" si="12"/>
        <v>12000</v>
      </c>
      <c r="V70" s="85">
        <v>12</v>
      </c>
      <c r="W70" s="86">
        <f t="shared" si="13"/>
        <v>12000</v>
      </c>
      <c r="X70" s="88">
        <f t="shared" si="9"/>
        <v>36000</v>
      </c>
      <c r="Y70" s="89" t="s">
        <v>617</v>
      </c>
      <c r="Z70" s="118">
        <v>3</v>
      </c>
      <c r="AA70" s="95">
        <v>4</v>
      </c>
      <c r="AB70" s="95" t="s">
        <v>519</v>
      </c>
      <c r="AC70" s="95" t="s">
        <v>613</v>
      </c>
      <c r="AD70" s="95" t="s">
        <v>595</v>
      </c>
      <c r="AE70" s="63" t="s">
        <v>526</v>
      </c>
    </row>
    <row r="71" spans="1:31" ht="33">
      <c r="A71" s="63" t="s">
        <v>503</v>
      </c>
      <c r="B71" s="95" t="s">
        <v>28</v>
      </c>
      <c r="C71" s="95" t="s">
        <v>852</v>
      </c>
      <c r="D71" s="276" t="s">
        <v>938</v>
      </c>
      <c r="E71" s="83" t="s">
        <v>620</v>
      </c>
      <c r="F71" s="48">
        <v>1</v>
      </c>
      <c r="G71" s="47">
        <v>10000</v>
      </c>
      <c r="H71" s="47" t="s">
        <v>97</v>
      </c>
      <c r="I71" s="99">
        <f t="shared" si="10"/>
        <v>10000</v>
      </c>
      <c r="J71" s="85">
        <v>1</v>
      </c>
      <c r="K71" s="86">
        <f t="shared" si="11"/>
        <v>10000</v>
      </c>
      <c r="L71" s="155">
        <v>3000</v>
      </c>
      <c r="M71" s="291">
        <v>0</v>
      </c>
      <c r="N71" s="155">
        <v>3000</v>
      </c>
      <c r="O71" s="291">
        <v>0</v>
      </c>
      <c r="P71" s="155">
        <v>2000</v>
      </c>
      <c r="Q71" s="291">
        <v>0</v>
      </c>
      <c r="R71" s="155">
        <v>2000</v>
      </c>
      <c r="S71" s="291">
        <f>SUMIF(Hoja1!B:B,'Budget YR2-4 DC+Hm'!D:D,Hoja1!G:G)</f>
        <v>1493.94</v>
      </c>
      <c r="T71" s="87">
        <v>1</v>
      </c>
      <c r="U71" s="84">
        <f t="shared" si="12"/>
        <v>10000</v>
      </c>
      <c r="V71" s="85">
        <v>1</v>
      </c>
      <c r="W71" s="86">
        <f t="shared" si="13"/>
        <v>10000</v>
      </c>
      <c r="X71" s="88">
        <f t="shared" si="9"/>
        <v>30000</v>
      </c>
      <c r="Y71" s="89" t="s">
        <v>621</v>
      </c>
      <c r="Z71" s="118">
        <v>1</v>
      </c>
      <c r="AA71" s="95" t="s">
        <v>519</v>
      </c>
      <c r="AB71" s="95" t="s">
        <v>519</v>
      </c>
      <c r="AC71" s="95" t="s">
        <v>43</v>
      </c>
      <c r="AD71" s="95" t="s">
        <v>595</v>
      </c>
      <c r="AE71" s="63" t="s">
        <v>522</v>
      </c>
    </row>
    <row r="72" spans="1:31" ht="33">
      <c r="A72" s="63" t="s">
        <v>503</v>
      </c>
      <c r="B72" s="95" t="s">
        <v>28</v>
      </c>
      <c r="C72" s="95" t="s">
        <v>48</v>
      </c>
      <c r="D72" s="276" t="s">
        <v>939</v>
      </c>
      <c r="E72" s="83" t="s">
        <v>622</v>
      </c>
      <c r="F72" s="48">
        <v>1</v>
      </c>
      <c r="G72" s="47">
        <v>10000</v>
      </c>
      <c r="H72" s="47" t="s">
        <v>97</v>
      </c>
      <c r="I72" s="99">
        <f t="shared" si="10"/>
        <v>10000</v>
      </c>
      <c r="J72" s="85">
        <v>1</v>
      </c>
      <c r="K72" s="86">
        <f t="shared" si="11"/>
        <v>10000</v>
      </c>
      <c r="L72" s="155"/>
      <c r="M72" s="291">
        <v>0</v>
      </c>
      <c r="N72" s="155">
        <v>10000</v>
      </c>
      <c r="O72" s="291">
        <v>0</v>
      </c>
      <c r="P72" s="155"/>
      <c r="Q72" s="291">
        <v>0</v>
      </c>
      <c r="R72" s="155"/>
      <c r="S72" s="291">
        <f>SUMIF(Hoja1!B:B,'Budget YR2-4 DC+Hm'!D:D,Hoja1!G:G)</f>
        <v>2031.02</v>
      </c>
      <c r="T72" s="87">
        <v>1</v>
      </c>
      <c r="U72" s="84">
        <f t="shared" si="12"/>
        <v>10000</v>
      </c>
      <c r="V72" s="85">
        <v>1</v>
      </c>
      <c r="W72" s="86">
        <f t="shared" si="13"/>
        <v>10000</v>
      </c>
      <c r="X72" s="88">
        <f aca="true" t="shared" si="14" ref="X72:X103">K72+U72+W72</f>
        <v>30000</v>
      </c>
      <c r="Y72" s="89" t="s">
        <v>621</v>
      </c>
      <c r="Z72" s="118">
        <v>3</v>
      </c>
      <c r="AA72" s="95" t="s">
        <v>519</v>
      </c>
      <c r="AB72" s="95" t="s">
        <v>519</v>
      </c>
      <c r="AC72" s="95" t="s">
        <v>613</v>
      </c>
      <c r="AD72" s="95" t="s">
        <v>595</v>
      </c>
      <c r="AE72" s="63" t="s">
        <v>522</v>
      </c>
    </row>
    <row r="73" spans="1:31" ht="33">
      <c r="A73" s="63" t="s">
        <v>503</v>
      </c>
      <c r="B73" s="95" t="s">
        <v>28</v>
      </c>
      <c r="C73" s="95" t="s">
        <v>852</v>
      </c>
      <c r="D73" s="276" t="s">
        <v>940</v>
      </c>
      <c r="E73" s="83" t="s">
        <v>623</v>
      </c>
      <c r="F73" s="48">
        <v>1</v>
      </c>
      <c r="G73" s="47">
        <v>10000</v>
      </c>
      <c r="H73" s="47" t="s">
        <v>97</v>
      </c>
      <c r="I73" s="99">
        <f t="shared" si="10"/>
        <v>10000</v>
      </c>
      <c r="J73" s="85">
        <v>1</v>
      </c>
      <c r="K73" s="86">
        <f>J73*I73+'Budget YR1 DC'!O32</f>
        <v>10412.29</v>
      </c>
      <c r="L73" s="155">
        <v>3412</v>
      </c>
      <c r="M73" s="291">
        <v>0</v>
      </c>
      <c r="N73" s="155">
        <v>3000</v>
      </c>
      <c r="O73" s="291">
        <v>0</v>
      </c>
      <c r="P73" s="155">
        <v>2000</v>
      </c>
      <c r="Q73" s="291">
        <v>2644.1800000000003</v>
      </c>
      <c r="R73" s="155">
        <v>2000</v>
      </c>
      <c r="S73" s="291">
        <f>SUMIF(Hoja1!B:B,'Budget YR2-4 DC+Hm'!D:D,Hoja1!G:G)</f>
        <v>7191.359999999999</v>
      </c>
      <c r="T73" s="87">
        <v>1</v>
      </c>
      <c r="U73" s="84">
        <f t="shared" si="12"/>
        <v>10000</v>
      </c>
      <c r="V73" s="85">
        <v>1</v>
      </c>
      <c r="W73" s="86">
        <f t="shared" si="13"/>
        <v>10000</v>
      </c>
      <c r="X73" s="88">
        <f t="shared" si="14"/>
        <v>30412.29</v>
      </c>
      <c r="Y73" s="89" t="s">
        <v>621</v>
      </c>
      <c r="Z73" s="118">
        <v>1</v>
      </c>
      <c r="AA73" s="95" t="s">
        <v>519</v>
      </c>
      <c r="AB73" s="95" t="s">
        <v>519</v>
      </c>
      <c r="AC73" s="95" t="s">
        <v>43</v>
      </c>
      <c r="AD73" s="95" t="s">
        <v>595</v>
      </c>
      <c r="AE73" s="63" t="s">
        <v>524</v>
      </c>
    </row>
    <row r="74" spans="1:31" ht="33">
      <c r="A74" s="63" t="s">
        <v>503</v>
      </c>
      <c r="B74" s="95" t="s">
        <v>28</v>
      </c>
      <c r="C74" s="95" t="s">
        <v>48</v>
      </c>
      <c r="D74" s="276" t="s">
        <v>941</v>
      </c>
      <c r="E74" s="83" t="s">
        <v>624</v>
      </c>
      <c r="F74" s="48">
        <v>1</v>
      </c>
      <c r="G74" s="47">
        <v>10000</v>
      </c>
      <c r="H74" s="47" t="s">
        <v>97</v>
      </c>
      <c r="I74" s="99">
        <f t="shared" si="10"/>
        <v>10000</v>
      </c>
      <c r="J74" s="85">
        <v>1</v>
      </c>
      <c r="K74" s="86">
        <f t="shared" si="11"/>
        <v>10000</v>
      </c>
      <c r="L74" s="155"/>
      <c r="M74" s="291">
        <v>0</v>
      </c>
      <c r="N74" s="155">
        <v>10000</v>
      </c>
      <c r="O74" s="291">
        <v>1855.34</v>
      </c>
      <c r="P74" s="155"/>
      <c r="Q74" s="291">
        <v>1220.39</v>
      </c>
      <c r="R74" s="155"/>
      <c r="S74" s="291">
        <f>SUMIF(Hoja1!B:B,'Budget YR2-4 DC+Hm'!D:D,Hoja1!G:G)</f>
        <v>0</v>
      </c>
      <c r="T74" s="87">
        <v>1</v>
      </c>
      <c r="U74" s="84">
        <f t="shared" si="12"/>
        <v>10000</v>
      </c>
      <c r="V74" s="85">
        <v>1</v>
      </c>
      <c r="W74" s="86">
        <f t="shared" si="13"/>
        <v>10000</v>
      </c>
      <c r="X74" s="88">
        <f t="shared" si="14"/>
        <v>30000</v>
      </c>
      <c r="Y74" s="89" t="s">
        <v>621</v>
      </c>
      <c r="Z74" s="118">
        <v>3</v>
      </c>
      <c r="AA74" s="95" t="s">
        <v>519</v>
      </c>
      <c r="AB74" s="95" t="s">
        <v>519</v>
      </c>
      <c r="AC74" s="95" t="s">
        <v>613</v>
      </c>
      <c r="AD74" s="95" t="s">
        <v>595</v>
      </c>
      <c r="AE74" s="63" t="s">
        <v>524</v>
      </c>
    </row>
    <row r="75" spans="1:31" ht="33">
      <c r="A75" s="63" t="s">
        <v>503</v>
      </c>
      <c r="B75" s="95" t="s">
        <v>28</v>
      </c>
      <c r="C75" s="95" t="s">
        <v>852</v>
      </c>
      <c r="D75" s="276" t="s">
        <v>942</v>
      </c>
      <c r="E75" s="83" t="s">
        <v>625</v>
      </c>
      <c r="F75" s="48">
        <v>1</v>
      </c>
      <c r="G75" s="47">
        <v>10000</v>
      </c>
      <c r="H75" s="47" t="s">
        <v>97</v>
      </c>
      <c r="I75" s="99">
        <f t="shared" si="10"/>
        <v>10000</v>
      </c>
      <c r="J75" s="85">
        <v>1</v>
      </c>
      <c r="K75" s="86">
        <f t="shared" si="11"/>
        <v>10000</v>
      </c>
      <c r="L75" s="155">
        <v>3000</v>
      </c>
      <c r="M75" s="291">
        <v>0</v>
      </c>
      <c r="N75" s="155">
        <v>3000</v>
      </c>
      <c r="O75" s="291">
        <v>1024.81</v>
      </c>
      <c r="P75" s="155">
        <v>2000</v>
      </c>
      <c r="Q75" s="291">
        <v>1601.05</v>
      </c>
      <c r="R75" s="155">
        <v>2000</v>
      </c>
      <c r="S75" s="291">
        <f>SUMIF(Hoja1!B:B,'Budget YR2-4 DC+Hm'!D:D,Hoja1!G:G)</f>
        <v>2335.9500000000003</v>
      </c>
      <c r="T75" s="87">
        <v>1</v>
      </c>
      <c r="U75" s="84">
        <f t="shared" si="12"/>
        <v>10000</v>
      </c>
      <c r="V75" s="85">
        <v>1</v>
      </c>
      <c r="W75" s="86">
        <f t="shared" si="13"/>
        <v>10000</v>
      </c>
      <c r="X75" s="88">
        <f t="shared" si="14"/>
        <v>30000</v>
      </c>
      <c r="Y75" s="89" t="s">
        <v>621</v>
      </c>
      <c r="Z75" s="118">
        <v>1</v>
      </c>
      <c r="AA75" s="95" t="s">
        <v>519</v>
      </c>
      <c r="AB75" s="95" t="s">
        <v>519</v>
      </c>
      <c r="AC75" s="95" t="s">
        <v>43</v>
      </c>
      <c r="AD75" s="95" t="s">
        <v>595</v>
      </c>
      <c r="AE75" s="63" t="s">
        <v>526</v>
      </c>
    </row>
    <row r="76" spans="1:31" ht="33">
      <c r="A76" s="63" t="s">
        <v>503</v>
      </c>
      <c r="B76" s="95" t="s">
        <v>28</v>
      </c>
      <c r="C76" s="95" t="s">
        <v>48</v>
      </c>
      <c r="D76" s="276" t="s">
        <v>943</v>
      </c>
      <c r="E76" s="83" t="s">
        <v>626</v>
      </c>
      <c r="F76" s="48">
        <v>1</v>
      </c>
      <c r="G76" s="47">
        <v>10000</v>
      </c>
      <c r="H76" s="47" t="s">
        <v>97</v>
      </c>
      <c r="I76" s="99">
        <f t="shared" si="10"/>
        <v>10000</v>
      </c>
      <c r="J76" s="85">
        <v>1</v>
      </c>
      <c r="K76" s="86">
        <f t="shared" si="11"/>
        <v>10000</v>
      </c>
      <c r="L76" s="155"/>
      <c r="M76" s="291">
        <v>1224.5</v>
      </c>
      <c r="N76" s="155">
        <v>10000</v>
      </c>
      <c r="O76" s="291">
        <v>666.13</v>
      </c>
      <c r="P76" s="155"/>
      <c r="Q76" s="291">
        <v>926.56</v>
      </c>
      <c r="R76" s="155"/>
      <c r="S76" s="291">
        <f>SUMIF(Hoja1!B:B,'Budget YR2-4 DC+Hm'!D:D,Hoja1!G:G)</f>
        <v>3588.2</v>
      </c>
      <c r="T76" s="87">
        <v>1</v>
      </c>
      <c r="U76" s="84">
        <f t="shared" si="12"/>
        <v>10000</v>
      </c>
      <c r="V76" s="85">
        <v>1</v>
      </c>
      <c r="W76" s="86">
        <f t="shared" si="13"/>
        <v>10000</v>
      </c>
      <c r="X76" s="88">
        <f t="shared" si="14"/>
        <v>30000</v>
      </c>
      <c r="Y76" s="89" t="s">
        <v>621</v>
      </c>
      <c r="Z76" s="118">
        <v>3</v>
      </c>
      <c r="AA76" s="95" t="s">
        <v>519</v>
      </c>
      <c r="AB76" s="95" t="s">
        <v>519</v>
      </c>
      <c r="AC76" s="95" t="s">
        <v>613</v>
      </c>
      <c r="AD76" s="95" t="s">
        <v>595</v>
      </c>
      <c r="AE76" s="63" t="s">
        <v>526</v>
      </c>
    </row>
    <row r="77" spans="1:31" ht="30" customHeight="1">
      <c r="A77" s="63" t="s">
        <v>503</v>
      </c>
      <c r="B77" s="95" t="s">
        <v>32</v>
      </c>
      <c r="C77" s="95" t="s">
        <v>855</v>
      </c>
      <c r="D77" s="276" t="s">
        <v>961</v>
      </c>
      <c r="E77" s="83" t="s">
        <v>627</v>
      </c>
      <c r="F77" s="48">
        <v>534</v>
      </c>
      <c r="G77" s="47">
        <v>25</v>
      </c>
      <c r="H77" s="47" t="s">
        <v>628</v>
      </c>
      <c r="I77" s="99">
        <f>F77*G77</f>
        <v>13350</v>
      </c>
      <c r="J77" s="85">
        <v>25</v>
      </c>
      <c r="K77" s="84">
        <v>13350</v>
      </c>
      <c r="L77" s="155">
        <v>5000</v>
      </c>
      <c r="M77" s="291">
        <v>920.25</v>
      </c>
      <c r="N77" s="155">
        <v>5000</v>
      </c>
      <c r="O77" s="291">
        <v>78.89</v>
      </c>
      <c r="P77" s="155">
        <v>3350</v>
      </c>
      <c r="Q77" s="291">
        <v>4289.5</v>
      </c>
      <c r="R77" s="155"/>
      <c r="S77" s="291">
        <f>SUMIF(Hoja1!B:B,'Budget YR2-4 DC+Hm'!D:D,Hoja1!G:G)</f>
        <v>5500</v>
      </c>
      <c r="T77" s="85">
        <v>25</v>
      </c>
      <c r="U77" s="84">
        <v>13350</v>
      </c>
      <c r="V77" s="85">
        <v>25</v>
      </c>
      <c r="W77" s="84">
        <v>13350</v>
      </c>
      <c r="X77" s="88">
        <f t="shared" si="14"/>
        <v>40050</v>
      </c>
      <c r="Y77" s="89"/>
      <c r="Z77" s="118">
        <v>2</v>
      </c>
      <c r="AA77" s="95">
        <v>1</v>
      </c>
      <c r="AB77" s="95" t="s">
        <v>629</v>
      </c>
      <c r="AC77" s="63" t="s">
        <v>630</v>
      </c>
      <c r="AD77" s="95" t="s">
        <v>595</v>
      </c>
      <c r="AE77" s="63" t="s">
        <v>550</v>
      </c>
    </row>
    <row r="78" spans="1:31" ht="21.75">
      <c r="A78" s="63" t="s">
        <v>503</v>
      </c>
      <c r="B78" s="95" t="s">
        <v>28</v>
      </c>
      <c r="C78" s="95" t="s">
        <v>48</v>
      </c>
      <c r="D78" s="276" t="s">
        <v>945</v>
      </c>
      <c r="E78" s="83" t="s">
        <v>631</v>
      </c>
      <c r="F78" s="48">
        <v>1</v>
      </c>
      <c r="G78" s="47">
        <v>20000</v>
      </c>
      <c r="H78" s="47" t="s">
        <v>97</v>
      </c>
      <c r="I78" s="99">
        <f t="shared" si="10"/>
        <v>20000</v>
      </c>
      <c r="J78" s="85">
        <v>1</v>
      </c>
      <c r="K78" s="86">
        <v>15000</v>
      </c>
      <c r="L78" s="155">
        <v>10000</v>
      </c>
      <c r="M78" s="291">
        <v>762.68</v>
      </c>
      <c r="N78" s="155">
        <v>5000</v>
      </c>
      <c r="O78" s="291">
        <v>358.58</v>
      </c>
      <c r="P78" s="155"/>
      <c r="Q78" s="291">
        <v>4364.03</v>
      </c>
      <c r="R78" s="155"/>
      <c r="S78" s="291">
        <f>SUMIF(Hoja1!B:B,'Budget YR2-4 DC+Hm'!D:D,Hoja1!G:G)</f>
        <v>6642.05</v>
      </c>
      <c r="T78" s="87">
        <v>1</v>
      </c>
      <c r="U78" s="84">
        <v>15000</v>
      </c>
      <c r="V78" s="85">
        <v>1</v>
      </c>
      <c r="W78" s="84">
        <v>15000</v>
      </c>
      <c r="X78" s="88">
        <f t="shared" si="14"/>
        <v>45000</v>
      </c>
      <c r="Y78" s="89" t="s">
        <v>632</v>
      </c>
      <c r="Z78" s="65">
        <v>2</v>
      </c>
      <c r="AA78" s="63">
        <v>1</v>
      </c>
      <c r="AB78" s="63">
        <v>1</v>
      </c>
      <c r="AC78" s="63" t="s">
        <v>630</v>
      </c>
      <c r="AD78" s="95" t="s">
        <v>595</v>
      </c>
      <c r="AE78" s="63" t="s">
        <v>522</v>
      </c>
    </row>
    <row r="79" spans="1:31" ht="21.75">
      <c r="A79" s="63" t="s">
        <v>503</v>
      </c>
      <c r="B79" s="95" t="s">
        <v>28</v>
      </c>
      <c r="C79" s="95" t="s">
        <v>48</v>
      </c>
      <c r="D79" s="276" t="s">
        <v>944</v>
      </c>
      <c r="E79" s="83" t="s">
        <v>633</v>
      </c>
      <c r="F79" s="48">
        <v>1</v>
      </c>
      <c r="G79" s="47">
        <v>20000</v>
      </c>
      <c r="H79" s="47" t="s">
        <v>97</v>
      </c>
      <c r="I79" s="99">
        <f t="shared" si="10"/>
        <v>20000</v>
      </c>
      <c r="J79" s="85">
        <v>1</v>
      </c>
      <c r="K79" s="86">
        <v>15000</v>
      </c>
      <c r="L79" s="155">
        <v>10000</v>
      </c>
      <c r="M79" s="291">
        <v>4012.45</v>
      </c>
      <c r="N79" s="155">
        <v>5000</v>
      </c>
      <c r="O79" s="291">
        <v>2373.91</v>
      </c>
      <c r="P79" s="155"/>
      <c r="Q79" s="291">
        <v>26.8</v>
      </c>
      <c r="R79" s="155"/>
      <c r="S79" s="291">
        <f>SUMIF(Hoja1!B:B,'Budget YR2-4 DC+Hm'!D:D,Hoja1!G:G)</f>
        <v>1049.63</v>
      </c>
      <c r="T79" s="87">
        <v>1</v>
      </c>
      <c r="U79" s="84">
        <v>15000</v>
      </c>
      <c r="V79" s="85">
        <v>1</v>
      </c>
      <c r="W79" s="84">
        <v>15000</v>
      </c>
      <c r="X79" s="88">
        <f t="shared" si="14"/>
        <v>45000</v>
      </c>
      <c r="Y79" s="89" t="s">
        <v>632</v>
      </c>
      <c r="Z79" s="65">
        <v>2</v>
      </c>
      <c r="AA79" s="63">
        <v>1</v>
      </c>
      <c r="AB79" s="63">
        <v>1</v>
      </c>
      <c r="AC79" s="63" t="s">
        <v>630</v>
      </c>
      <c r="AD79" s="95" t="s">
        <v>595</v>
      </c>
      <c r="AE79" s="63" t="s">
        <v>524</v>
      </c>
    </row>
    <row r="80" spans="1:31" ht="21.75">
      <c r="A80" s="63" t="s">
        <v>503</v>
      </c>
      <c r="B80" s="95" t="s">
        <v>28</v>
      </c>
      <c r="C80" s="95" t="s">
        <v>48</v>
      </c>
      <c r="D80" s="276" t="s">
        <v>969</v>
      </c>
      <c r="E80" s="83" t="s">
        <v>634</v>
      </c>
      <c r="F80" s="48">
        <v>1</v>
      </c>
      <c r="G80" s="47">
        <v>20000</v>
      </c>
      <c r="H80" s="47" t="s">
        <v>97</v>
      </c>
      <c r="I80" s="99">
        <f t="shared" si="10"/>
        <v>20000</v>
      </c>
      <c r="J80" s="85">
        <v>1</v>
      </c>
      <c r="K80" s="86">
        <v>15000</v>
      </c>
      <c r="L80" s="155">
        <v>10000</v>
      </c>
      <c r="M80" s="291">
        <v>4007.96</v>
      </c>
      <c r="N80" s="155">
        <v>5000</v>
      </c>
      <c r="O80" s="291">
        <v>4862.74</v>
      </c>
      <c r="P80" s="155"/>
      <c r="Q80" s="291">
        <v>4914.589999999999</v>
      </c>
      <c r="R80" s="155"/>
      <c r="S80" s="291">
        <f>Hoja1!G110+Hoja1!G194</f>
        <v>7215.870000000001</v>
      </c>
      <c r="T80" s="87">
        <v>1</v>
      </c>
      <c r="U80" s="84">
        <v>15000</v>
      </c>
      <c r="V80" s="85">
        <v>1</v>
      </c>
      <c r="W80" s="84">
        <v>15000</v>
      </c>
      <c r="X80" s="88">
        <f t="shared" si="14"/>
        <v>45000</v>
      </c>
      <c r="Y80" s="89" t="s">
        <v>632</v>
      </c>
      <c r="Z80" s="65">
        <v>2</v>
      </c>
      <c r="AA80" s="63">
        <v>1</v>
      </c>
      <c r="AB80" s="63">
        <v>1</v>
      </c>
      <c r="AC80" s="63" t="s">
        <v>630</v>
      </c>
      <c r="AD80" s="95" t="s">
        <v>595</v>
      </c>
      <c r="AE80" s="63" t="s">
        <v>526</v>
      </c>
    </row>
    <row r="81" spans="1:31" s="95" customFormat="1" ht="27" customHeight="1">
      <c r="A81" s="63" t="s">
        <v>503</v>
      </c>
      <c r="B81" s="95" t="s">
        <v>26</v>
      </c>
      <c r="C81" s="95" t="s">
        <v>48</v>
      </c>
      <c r="D81" s="276" t="s">
        <v>978</v>
      </c>
      <c r="E81" s="83" t="s">
        <v>635</v>
      </c>
      <c r="F81" s="48">
        <v>1</v>
      </c>
      <c r="G81" s="49">
        <v>800</v>
      </c>
      <c r="H81" s="49" t="s">
        <v>90</v>
      </c>
      <c r="I81" s="99">
        <f>F81*G81</f>
        <v>800</v>
      </c>
      <c r="J81" s="116">
        <v>12</v>
      </c>
      <c r="K81" s="86">
        <f>J81*I81</f>
        <v>9600</v>
      </c>
      <c r="L81" s="155">
        <f aca="true" t="shared" si="15" ref="L81:L87">K81/4</f>
        <v>2400</v>
      </c>
      <c r="M81" s="291">
        <v>3830</v>
      </c>
      <c r="N81" s="155">
        <f aca="true" t="shared" si="16" ref="N81:N87">K81/4</f>
        <v>2400</v>
      </c>
      <c r="O81" s="291">
        <v>0</v>
      </c>
      <c r="P81" s="155">
        <f aca="true" t="shared" si="17" ref="P81:P87">K81/4</f>
        <v>2400</v>
      </c>
      <c r="Q81" s="291">
        <v>0</v>
      </c>
      <c r="R81" s="155">
        <f aca="true" t="shared" si="18" ref="R81:R87">K81/4</f>
        <v>2400</v>
      </c>
      <c r="S81" s="291">
        <f>SUMIF(Hoja1!B:B,'Budget YR2-4 DC+Hm'!D:D,Hoja1!G:G)</f>
        <v>2353.94</v>
      </c>
      <c r="T81" s="117">
        <v>12</v>
      </c>
      <c r="U81" s="84">
        <f aca="true" t="shared" si="19" ref="U81:U87">T81*I81</f>
        <v>9600</v>
      </c>
      <c r="V81" s="116">
        <v>12</v>
      </c>
      <c r="W81" s="86">
        <f aca="true" t="shared" si="20" ref="W81:W87">V81*I81</f>
        <v>9600</v>
      </c>
      <c r="X81" s="88">
        <f t="shared" si="14"/>
        <v>28800</v>
      </c>
      <c r="Y81" s="99" t="s">
        <v>636</v>
      </c>
      <c r="Z81" s="118">
        <v>3</v>
      </c>
      <c r="AA81" s="95">
        <v>4</v>
      </c>
      <c r="AB81" s="95" t="s">
        <v>519</v>
      </c>
      <c r="AC81" s="95" t="s">
        <v>613</v>
      </c>
      <c r="AD81" s="63" t="s">
        <v>521</v>
      </c>
      <c r="AE81" s="95" t="s">
        <v>522</v>
      </c>
    </row>
    <row r="82" spans="1:31" s="95" customFormat="1" ht="27" customHeight="1">
      <c r="A82" s="63" t="s">
        <v>503</v>
      </c>
      <c r="B82" s="95" t="s">
        <v>26</v>
      </c>
      <c r="C82" s="95" t="s">
        <v>48</v>
      </c>
      <c r="D82" s="276" t="s">
        <v>974</v>
      </c>
      <c r="E82" s="83" t="s">
        <v>637</v>
      </c>
      <c r="F82" s="48">
        <v>1</v>
      </c>
      <c r="G82" s="49">
        <v>800</v>
      </c>
      <c r="H82" s="49" t="s">
        <v>90</v>
      </c>
      <c r="I82" s="99">
        <f>F82*G82</f>
        <v>800</v>
      </c>
      <c r="J82" s="116">
        <v>12</v>
      </c>
      <c r="K82" s="86">
        <f>J82*I82</f>
        <v>9600</v>
      </c>
      <c r="L82" s="155">
        <f t="shared" si="15"/>
        <v>2400</v>
      </c>
      <c r="M82" s="291">
        <v>1326</v>
      </c>
      <c r="N82" s="155">
        <f t="shared" si="16"/>
        <v>2400</v>
      </c>
      <c r="O82" s="291">
        <v>662.73</v>
      </c>
      <c r="P82" s="155">
        <f t="shared" si="17"/>
        <v>2400</v>
      </c>
      <c r="Q82" s="291">
        <v>2881.0299999999997</v>
      </c>
      <c r="R82" s="155">
        <f t="shared" si="18"/>
        <v>2400</v>
      </c>
      <c r="S82" s="291">
        <f>SUMIF(Hoja1!B:B,'Budget YR2-4 DC+Hm'!D:D,Hoja1!G:G)</f>
        <v>1949.51</v>
      </c>
      <c r="T82" s="117">
        <v>12</v>
      </c>
      <c r="U82" s="84">
        <f t="shared" si="19"/>
        <v>9600</v>
      </c>
      <c r="V82" s="116">
        <v>12</v>
      </c>
      <c r="W82" s="86">
        <f t="shared" si="20"/>
        <v>9600</v>
      </c>
      <c r="X82" s="88">
        <f t="shared" si="14"/>
        <v>28800</v>
      </c>
      <c r="Y82" s="99" t="s">
        <v>636</v>
      </c>
      <c r="Z82" s="118">
        <v>3</v>
      </c>
      <c r="AA82" s="95">
        <v>4</v>
      </c>
      <c r="AB82" s="95" t="s">
        <v>519</v>
      </c>
      <c r="AC82" s="95" t="s">
        <v>613</v>
      </c>
      <c r="AD82" s="63" t="s">
        <v>521</v>
      </c>
      <c r="AE82" s="95" t="s">
        <v>524</v>
      </c>
    </row>
    <row r="83" spans="1:31" s="95" customFormat="1" ht="27" customHeight="1">
      <c r="A83" s="63" t="s">
        <v>503</v>
      </c>
      <c r="B83" s="95" t="s">
        <v>26</v>
      </c>
      <c r="C83" s="95" t="s">
        <v>48</v>
      </c>
      <c r="D83" s="276" t="s">
        <v>979</v>
      </c>
      <c r="E83" s="83" t="s">
        <v>638</v>
      </c>
      <c r="F83" s="48">
        <v>1</v>
      </c>
      <c r="G83" s="49">
        <v>800</v>
      </c>
      <c r="H83" s="49" t="s">
        <v>90</v>
      </c>
      <c r="I83" s="99">
        <f>F83*G83</f>
        <v>800</v>
      </c>
      <c r="J83" s="116">
        <v>12</v>
      </c>
      <c r="K83" s="86">
        <f>J83*I83</f>
        <v>9600</v>
      </c>
      <c r="L83" s="155">
        <f t="shared" si="15"/>
        <v>2400</v>
      </c>
      <c r="M83" s="291">
        <v>4268.139999999999</v>
      </c>
      <c r="N83" s="155">
        <f t="shared" si="16"/>
        <v>2400</v>
      </c>
      <c r="O83" s="291">
        <v>2648.7400000000007</v>
      </c>
      <c r="P83" s="155">
        <f t="shared" si="17"/>
        <v>2400</v>
      </c>
      <c r="Q83" s="291">
        <v>3749.99</v>
      </c>
      <c r="R83" s="155">
        <f t="shared" si="18"/>
        <v>2400</v>
      </c>
      <c r="S83" s="291">
        <f>SUMIF(Hoja1!B:B,'Budget YR2-4 DC+Hm'!D:D,Hoja1!G:G)</f>
        <v>3554.6200000000003</v>
      </c>
      <c r="T83" s="117">
        <v>12</v>
      </c>
      <c r="U83" s="84">
        <f t="shared" si="19"/>
        <v>9600</v>
      </c>
      <c r="V83" s="116">
        <v>12</v>
      </c>
      <c r="W83" s="86">
        <f t="shared" si="20"/>
        <v>9600</v>
      </c>
      <c r="X83" s="88">
        <f t="shared" si="14"/>
        <v>28800</v>
      </c>
      <c r="Y83" s="99" t="s">
        <v>636</v>
      </c>
      <c r="Z83" s="118">
        <v>3</v>
      </c>
      <c r="AA83" s="95">
        <v>4</v>
      </c>
      <c r="AB83" s="95" t="s">
        <v>519</v>
      </c>
      <c r="AC83" s="95" t="s">
        <v>613</v>
      </c>
      <c r="AD83" s="63" t="s">
        <v>521</v>
      </c>
      <c r="AE83" s="95" t="s">
        <v>526</v>
      </c>
    </row>
    <row r="84" spans="1:31" s="95" customFormat="1" ht="24.75" customHeight="1">
      <c r="A84" s="63" t="s">
        <v>503</v>
      </c>
      <c r="B84" s="95" t="s">
        <v>26</v>
      </c>
      <c r="C84" s="95" t="s">
        <v>48</v>
      </c>
      <c r="D84" s="276" t="s">
        <v>981</v>
      </c>
      <c r="E84" s="83" t="s">
        <v>639</v>
      </c>
      <c r="F84" s="48">
        <v>1</v>
      </c>
      <c r="G84" s="49">
        <v>800</v>
      </c>
      <c r="H84" s="49" t="s">
        <v>90</v>
      </c>
      <c r="I84" s="99">
        <f t="shared" si="10"/>
        <v>800</v>
      </c>
      <c r="J84" s="116">
        <v>12</v>
      </c>
      <c r="K84" s="86">
        <f t="shared" si="11"/>
        <v>9600</v>
      </c>
      <c r="L84" s="155">
        <f t="shared" si="15"/>
        <v>2400</v>
      </c>
      <c r="M84" s="291">
        <v>0</v>
      </c>
      <c r="N84" s="155">
        <f t="shared" si="16"/>
        <v>2400</v>
      </c>
      <c r="O84" s="291">
        <v>381</v>
      </c>
      <c r="P84" s="155">
        <f t="shared" si="17"/>
        <v>2400</v>
      </c>
      <c r="Q84" s="291">
        <v>406.8</v>
      </c>
      <c r="R84" s="155">
        <f t="shared" si="18"/>
        <v>2400</v>
      </c>
      <c r="S84" s="291">
        <f>SUMIF(Hoja1!B:B,'Budget YR2-4 DC+Hm'!D:D,Hoja1!G:G)</f>
        <v>2104.2</v>
      </c>
      <c r="T84" s="117">
        <v>12</v>
      </c>
      <c r="U84" s="84">
        <f t="shared" si="19"/>
        <v>9600</v>
      </c>
      <c r="V84" s="116">
        <v>12</v>
      </c>
      <c r="W84" s="86">
        <f t="shared" si="20"/>
        <v>9600</v>
      </c>
      <c r="X84" s="88">
        <f t="shared" si="14"/>
        <v>28800</v>
      </c>
      <c r="Y84" s="99" t="s">
        <v>640</v>
      </c>
      <c r="Z84" s="65">
        <v>2</v>
      </c>
      <c r="AA84" s="63">
        <v>1</v>
      </c>
      <c r="AB84" s="63">
        <v>1</v>
      </c>
      <c r="AC84" s="63" t="s">
        <v>630</v>
      </c>
      <c r="AD84" s="95" t="s">
        <v>595</v>
      </c>
      <c r="AE84" s="95" t="s">
        <v>522</v>
      </c>
    </row>
    <row r="85" spans="1:31" s="95" customFormat="1" ht="24.75" customHeight="1">
      <c r="A85" s="63" t="s">
        <v>503</v>
      </c>
      <c r="B85" s="95" t="s">
        <v>26</v>
      </c>
      <c r="C85" s="95" t="s">
        <v>48</v>
      </c>
      <c r="D85" s="276" t="s">
        <v>975</v>
      </c>
      <c r="E85" s="83" t="s">
        <v>641</v>
      </c>
      <c r="F85" s="48">
        <v>1</v>
      </c>
      <c r="G85" s="49">
        <v>800</v>
      </c>
      <c r="H85" s="49" t="s">
        <v>90</v>
      </c>
      <c r="I85" s="99">
        <f t="shared" si="10"/>
        <v>800</v>
      </c>
      <c r="J85" s="116">
        <v>12</v>
      </c>
      <c r="K85" s="86">
        <f t="shared" si="11"/>
        <v>9600</v>
      </c>
      <c r="L85" s="155">
        <f t="shared" si="15"/>
        <v>2400</v>
      </c>
      <c r="M85" s="291">
        <v>0</v>
      </c>
      <c r="N85" s="155">
        <f t="shared" si="16"/>
        <v>2400</v>
      </c>
      <c r="O85" s="291">
        <v>3142.3500000000004</v>
      </c>
      <c r="P85" s="155">
        <f t="shared" si="17"/>
        <v>2400</v>
      </c>
      <c r="Q85" s="291">
        <v>4323.0599999999995</v>
      </c>
      <c r="R85" s="155">
        <f t="shared" si="18"/>
        <v>2400</v>
      </c>
      <c r="S85" s="291">
        <f>SUMIF(Hoja1!B:B,'Budget YR2-4 DC+Hm'!D:D,Hoja1!G:G)</f>
        <v>1343.96</v>
      </c>
      <c r="T85" s="117">
        <v>12</v>
      </c>
      <c r="U85" s="84">
        <f t="shared" si="19"/>
        <v>9600</v>
      </c>
      <c r="V85" s="116">
        <v>12</v>
      </c>
      <c r="W85" s="86">
        <f t="shared" si="20"/>
        <v>9600</v>
      </c>
      <c r="X85" s="88">
        <f t="shared" si="14"/>
        <v>28800</v>
      </c>
      <c r="Y85" s="99" t="s">
        <v>640</v>
      </c>
      <c r="Z85" s="65">
        <v>2</v>
      </c>
      <c r="AA85" s="63">
        <v>1</v>
      </c>
      <c r="AB85" s="63">
        <v>1</v>
      </c>
      <c r="AC85" s="63" t="s">
        <v>630</v>
      </c>
      <c r="AD85" s="95" t="s">
        <v>595</v>
      </c>
      <c r="AE85" s="95" t="s">
        <v>524</v>
      </c>
    </row>
    <row r="86" spans="1:31" s="95" customFormat="1" ht="24.75" customHeight="1">
      <c r="A86" s="63" t="s">
        <v>503</v>
      </c>
      <c r="B86" s="95" t="s">
        <v>26</v>
      </c>
      <c r="C86" s="95" t="s">
        <v>48</v>
      </c>
      <c r="D86" s="276" t="s">
        <v>980</v>
      </c>
      <c r="E86" s="83" t="s">
        <v>642</v>
      </c>
      <c r="F86" s="48">
        <v>1</v>
      </c>
      <c r="G86" s="49">
        <v>800</v>
      </c>
      <c r="H86" s="49" t="s">
        <v>90</v>
      </c>
      <c r="I86" s="99">
        <f t="shared" si="10"/>
        <v>800</v>
      </c>
      <c r="J86" s="116">
        <v>12</v>
      </c>
      <c r="K86" s="86">
        <f t="shared" si="11"/>
        <v>9600</v>
      </c>
      <c r="L86" s="155">
        <f t="shared" si="15"/>
        <v>2400</v>
      </c>
      <c r="M86" s="291">
        <v>2387.88</v>
      </c>
      <c r="N86" s="155">
        <f t="shared" si="16"/>
        <v>2400</v>
      </c>
      <c r="O86" s="291">
        <v>0</v>
      </c>
      <c r="P86" s="155">
        <f t="shared" si="17"/>
        <v>2400</v>
      </c>
      <c r="Q86" s="291">
        <v>1597</v>
      </c>
      <c r="R86" s="155">
        <f t="shared" si="18"/>
        <v>2400</v>
      </c>
      <c r="S86" s="291">
        <f>SUMIF(Hoja1!B:B,'Budget YR2-4 DC+Hm'!D:D,Hoja1!G:G)</f>
        <v>1223.77</v>
      </c>
      <c r="T86" s="117">
        <v>12</v>
      </c>
      <c r="U86" s="84">
        <f t="shared" si="19"/>
        <v>9600</v>
      </c>
      <c r="V86" s="116">
        <v>12</v>
      </c>
      <c r="W86" s="86">
        <f t="shared" si="20"/>
        <v>9600</v>
      </c>
      <c r="X86" s="88">
        <f t="shared" si="14"/>
        <v>28800</v>
      </c>
      <c r="Y86" s="99" t="s">
        <v>640</v>
      </c>
      <c r="Z86" s="65">
        <v>2</v>
      </c>
      <c r="AA86" s="63">
        <v>1</v>
      </c>
      <c r="AB86" s="63">
        <v>1</v>
      </c>
      <c r="AC86" s="63" t="s">
        <v>630</v>
      </c>
      <c r="AD86" s="95" t="s">
        <v>595</v>
      </c>
      <c r="AE86" s="95" t="s">
        <v>526</v>
      </c>
    </row>
    <row r="87" spans="1:31" s="95" customFormat="1" ht="24.75" customHeight="1">
      <c r="A87" s="63" t="s">
        <v>503</v>
      </c>
      <c r="B87" s="95" t="s">
        <v>26</v>
      </c>
      <c r="C87" s="95" t="s">
        <v>58</v>
      </c>
      <c r="D87" s="276" t="s">
        <v>997</v>
      </c>
      <c r="E87" s="153" t="s">
        <v>643</v>
      </c>
      <c r="F87" s="154">
        <v>270</v>
      </c>
      <c r="G87" s="155">
        <v>25</v>
      </c>
      <c r="H87" s="155" t="s">
        <v>183</v>
      </c>
      <c r="I87" s="155">
        <f t="shared" si="10"/>
        <v>6750</v>
      </c>
      <c r="J87" s="156">
        <v>1</v>
      </c>
      <c r="K87" s="157">
        <f t="shared" si="11"/>
        <v>6750</v>
      </c>
      <c r="L87" s="155">
        <f t="shared" si="15"/>
        <v>1687.5</v>
      </c>
      <c r="M87" s="291">
        <v>0</v>
      </c>
      <c r="N87" s="155">
        <f t="shared" si="16"/>
        <v>1687.5</v>
      </c>
      <c r="O87" s="291">
        <v>2082.83</v>
      </c>
      <c r="P87" s="155">
        <f t="shared" si="17"/>
        <v>1687.5</v>
      </c>
      <c r="Q87" s="291">
        <v>1747.5099999999998</v>
      </c>
      <c r="R87" s="155">
        <f t="shared" si="18"/>
        <v>1687.5</v>
      </c>
      <c r="S87" s="291">
        <f>Hoja1!G79+Hoja1!G139+Hoja1!G186</f>
        <v>353.52</v>
      </c>
      <c r="T87" s="154">
        <v>1</v>
      </c>
      <c r="U87" s="158">
        <f t="shared" si="19"/>
        <v>6750</v>
      </c>
      <c r="V87" s="156">
        <v>1</v>
      </c>
      <c r="W87" s="157">
        <f t="shared" si="20"/>
        <v>6750</v>
      </c>
      <c r="X87" s="88">
        <f t="shared" si="14"/>
        <v>20250</v>
      </c>
      <c r="Y87" s="118"/>
      <c r="Z87" s="65">
        <v>2</v>
      </c>
      <c r="AA87" s="63">
        <v>1</v>
      </c>
      <c r="AB87" s="63">
        <v>1</v>
      </c>
      <c r="AC87" s="63" t="s">
        <v>630</v>
      </c>
      <c r="AD87" s="95" t="s">
        <v>595</v>
      </c>
      <c r="AE87" s="95" t="s">
        <v>550</v>
      </c>
    </row>
    <row r="88" spans="1:26" ht="28.5" customHeight="1">
      <c r="A88" s="63" t="s">
        <v>503</v>
      </c>
      <c r="B88" s="95"/>
      <c r="C88" s="95"/>
      <c r="D88" s="95"/>
      <c r="E88" s="302" t="s">
        <v>644</v>
      </c>
      <c r="F88" s="148"/>
      <c r="G88" s="148"/>
      <c r="H88" s="148"/>
      <c r="I88" s="148"/>
      <c r="J88" s="149"/>
      <c r="K88" s="150"/>
      <c r="L88" s="193"/>
      <c r="M88" s="293"/>
      <c r="N88" s="193"/>
      <c r="O88" s="293"/>
      <c r="P88" s="193"/>
      <c r="Q88" s="291"/>
      <c r="R88" s="193"/>
      <c r="S88" s="293"/>
      <c r="T88" s="148"/>
      <c r="U88" s="151"/>
      <c r="V88" s="149"/>
      <c r="W88" s="150"/>
      <c r="X88" s="152">
        <f t="shared" si="14"/>
        <v>0</v>
      </c>
      <c r="Y88" s="82"/>
      <c r="Z88" s="82"/>
    </row>
    <row r="89" spans="1:31" s="95" customFormat="1" ht="32.25" customHeight="1">
      <c r="A89" s="63" t="s">
        <v>503</v>
      </c>
      <c r="B89" s="95" t="s">
        <v>57</v>
      </c>
      <c r="C89" s="95" t="s">
        <v>853</v>
      </c>
      <c r="D89" s="276" t="s">
        <v>1014</v>
      </c>
      <c r="E89" s="147" t="s">
        <v>645</v>
      </c>
      <c r="F89" s="120">
        <v>1</v>
      </c>
      <c r="G89" s="49">
        <v>50</v>
      </c>
      <c r="H89" s="49" t="s">
        <v>97</v>
      </c>
      <c r="I89" s="99">
        <f aca="true" t="shared" si="21" ref="I89:I94">F89*G89</f>
        <v>50</v>
      </c>
      <c r="J89" s="116">
        <v>355</v>
      </c>
      <c r="K89" s="86">
        <f>J89*I89</f>
        <v>17750</v>
      </c>
      <c r="L89" s="155"/>
      <c r="M89" s="291">
        <v>0</v>
      </c>
      <c r="N89" s="155">
        <f>K89</f>
        <v>17750</v>
      </c>
      <c r="O89" s="291">
        <v>0</v>
      </c>
      <c r="P89" s="155"/>
      <c r="Q89" s="291">
        <v>0</v>
      </c>
      <c r="R89" s="155"/>
      <c r="S89" s="400">
        <f>SUMIF(Hoja1!B:B,'Budget YR2-4 DC+Hm'!D:D,Hoja1!G:G)</f>
        <v>0</v>
      </c>
      <c r="T89" s="117">
        <v>709</v>
      </c>
      <c r="U89" s="84">
        <f>T89*I89</f>
        <v>35450</v>
      </c>
      <c r="V89" s="116">
        <v>709</v>
      </c>
      <c r="W89" s="86">
        <f>V89*I89</f>
        <v>35450</v>
      </c>
      <c r="X89" s="88">
        <f t="shared" si="14"/>
        <v>88650</v>
      </c>
      <c r="Y89" s="99" t="s">
        <v>646</v>
      </c>
      <c r="Z89" s="118">
        <v>4</v>
      </c>
      <c r="AA89" s="95">
        <v>1</v>
      </c>
      <c r="AB89" s="95" t="s">
        <v>519</v>
      </c>
      <c r="AC89" s="95" t="s">
        <v>536</v>
      </c>
      <c r="AD89" s="95" t="s">
        <v>647</v>
      </c>
      <c r="AE89" s="95" t="s">
        <v>522</v>
      </c>
    </row>
    <row r="90" spans="1:31" s="95" customFormat="1" ht="32.25" customHeight="1">
      <c r="A90" s="63" t="s">
        <v>503</v>
      </c>
      <c r="B90" s="95" t="s">
        <v>57</v>
      </c>
      <c r="C90" s="95" t="s">
        <v>853</v>
      </c>
      <c r="D90" s="276" t="s">
        <v>1015</v>
      </c>
      <c r="E90" s="147" t="s">
        <v>648</v>
      </c>
      <c r="F90" s="120">
        <v>1</v>
      </c>
      <c r="G90" s="49">
        <v>50</v>
      </c>
      <c r="H90" s="49" t="s">
        <v>97</v>
      </c>
      <c r="I90" s="99">
        <f t="shared" si="21"/>
        <v>50</v>
      </c>
      <c r="J90" s="116">
        <v>355</v>
      </c>
      <c r="K90" s="86">
        <f>J90*I90</f>
        <v>17750</v>
      </c>
      <c r="L90" s="155"/>
      <c r="M90" s="291">
        <v>0</v>
      </c>
      <c r="N90" s="155">
        <f>K90</f>
        <v>17750</v>
      </c>
      <c r="O90" s="291">
        <v>0</v>
      </c>
      <c r="P90" s="155"/>
      <c r="Q90" s="291">
        <v>0</v>
      </c>
      <c r="R90" s="155"/>
      <c r="S90" s="400">
        <f>SUMIF(Hoja1!B:B,'Budget YR2-4 DC+Hm'!D:D,Hoja1!G:G)</f>
        <v>0</v>
      </c>
      <c r="T90" s="117">
        <v>709</v>
      </c>
      <c r="U90" s="84">
        <f>T90*I90</f>
        <v>35450</v>
      </c>
      <c r="V90" s="116">
        <v>709</v>
      </c>
      <c r="W90" s="86">
        <f>V90*I90</f>
        <v>35450</v>
      </c>
      <c r="X90" s="88">
        <f t="shared" si="14"/>
        <v>88650</v>
      </c>
      <c r="Y90" s="99" t="s">
        <v>646</v>
      </c>
      <c r="Z90" s="118">
        <v>4</v>
      </c>
      <c r="AA90" s="95">
        <v>1</v>
      </c>
      <c r="AB90" s="95" t="s">
        <v>519</v>
      </c>
      <c r="AC90" s="95" t="s">
        <v>536</v>
      </c>
      <c r="AD90" s="95" t="s">
        <v>647</v>
      </c>
      <c r="AE90" s="95" t="s">
        <v>524</v>
      </c>
    </row>
    <row r="91" spans="1:31" s="95" customFormat="1" ht="32.25" customHeight="1">
      <c r="A91" s="63" t="s">
        <v>503</v>
      </c>
      <c r="B91" s="95" t="s">
        <v>57</v>
      </c>
      <c r="C91" s="95" t="s">
        <v>853</v>
      </c>
      <c r="D91" s="276" t="s">
        <v>1016</v>
      </c>
      <c r="E91" s="147" t="s">
        <v>649</v>
      </c>
      <c r="F91" s="120">
        <v>1</v>
      </c>
      <c r="G91" s="49">
        <v>50</v>
      </c>
      <c r="H91" s="49" t="s">
        <v>97</v>
      </c>
      <c r="I91" s="99">
        <f t="shared" si="21"/>
        <v>50</v>
      </c>
      <c r="J91" s="116">
        <v>355</v>
      </c>
      <c r="K91" s="86">
        <f>J91*I91</f>
        <v>17750</v>
      </c>
      <c r="L91" s="155"/>
      <c r="M91" s="291">
        <v>0</v>
      </c>
      <c r="N91" s="155">
        <f>K91</f>
        <v>17750</v>
      </c>
      <c r="O91" s="291">
        <v>0</v>
      </c>
      <c r="P91" s="155"/>
      <c r="Q91" s="291">
        <v>0</v>
      </c>
      <c r="R91" s="155"/>
      <c r="S91" s="400">
        <f>SUMIF(Hoja1!B:B,'Budget YR2-4 DC+Hm'!D:D,Hoja1!G:G)</f>
        <v>0</v>
      </c>
      <c r="T91" s="117">
        <v>709</v>
      </c>
      <c r="U91" s="84">
        <f>T91*I91</f>
        <v>35450</v>
      </c>
      <c r="V91" s="116">
        <v>709</v>
      </c>
      <c r="W91" s="86">
        <f>V91*I91</f>
        <v>35450</v>
      </c>
      <c r="X91" s="88">
        <f t="shared" si="14"/>
        <v>88650</v>
      </c>
      <c r="Y91" s="99" t="s">
        <v>646</v>
      </c>
      <c r="Z91" s="118">
        <v>4</v>
      </c>
      <c r="AA91" s="95">
        <v>1</v>
      </c>
      <c r="AB91" s="95" t="s">
        <v>519</v>
      </c>
      <c r="AC91" s="95" t="s">
        <v>536</v>
      </c>
      <c r="AD91" s="95" t="s">
        <v>647</v>
      </c>
      <c r="AE91" s="95" t="s">
        <v>526</v>
      </c>
    </row>
    <row r="92" spans="1:31" s="95" customFormat="1" ht="21.75">
      <c r="A92" s="63" t="s">
        <v>503</v>
      </c>
      <c r="B92" s="95" t="s">
        <v>32</v>
      </c>
      <c r="C92" s="95" t="s">
        <v>855</v>
      </c>
      <c r="D92" s="276" t="s">
        <v>962</v>
      </c>
      <c r="E92" s="121" t="s">
        <v>650</v>
      </c>
      <c r="F92" s="120">
        <v>0.3333333333333333</v>
      </c>
      <c r="G92" s="49">
        <v>30000</v>
      </c>
      <c r="H92" s="49" t="s">
        <v>97</v>
      </c>
      <c r="I92" s="99">
        <f t="shared" si="21"/>
        <v>10000</v>
      </c>
      <c r="J92" s="116">
        <v>1</v>
      </c>
      <c r="K92" s="86">
        <v>9000</v>
      </c>
      <c r="L92" s="155"/>
      <c r="M92" s="291">
        <v>0</v>
      </c>
      <c r="N92" s="155">
        <v>9000</v>
      </c>
      <c r="O92" s="291">
        <v>0</v>
      </c>
      <c r="P92" s="155"/>
      <c r="Q92" s="291">
        <v>0</v>
      </c>
      <c r="R92" s="155"/>
      <c r="S92" s="400">
        <f>SUMIF(Hoja1!B:B,'Budget YR2-4 DC+Hm'!D:D,Hoja1!G:G)</f>
        <v>0</v>
      </c>
      <c r="T92" s="117">
        <v>1</v>
      </c>
      <c r="U92" s="212">
        <v>9000</v>
      </c>
      <c r="V92" s="116">
        <v>1</v>
      </c>
      <c r="W92" s="212">
        <v>9000</v>
      </c>
      <c r="X92" s="88">
        <f t="shared" si="14"/>
        <v>27000</v>
      </c>
      <c r="Y92" s="99"/>
      <c r="Z92" s="118">
        <v>4</v>
      </c>
      <c r="AA92" s="95">
        <v>1</v>
      </c>
      <c r="AB92" s="95" t="s">
        <v>519</v>
      </c>
      <c r="AC92" s="95" t="s">
        <v>536</v>
      </c>
      <c r="AD92" s="95" t="s">
        <v>647</v>
      </c>
      <c r="AE92" s="95" t="s">
        <v>522</v>
      </c>
    </row>
    <row r="93" spans="1:31" s="95" customFormat="1" ht="21.75">
      <c r="A93" s="63" t="s">
        <v>503</v>
      </c>
      <c r="B93" s="95" t="s">
        <v>32</v>
      </c>
      <c r="C93" s="95" t="s">
        <v>855</v>
      </c>
      <c r="D93" s="276" t="s">
        <v>963</v>
      </c>
      <c r="E93" s="121" t="s">
        <v>651</v>
      </c>
      <c r="F93" s="120">
        <v>0.3333333333333333</v>
      </c>
      <c r="G93" s="49">
        <v>30000</v>
      </c>
      <c r="H93" s="49" t="s">
        <v>97</v>
      </c>
      <c r="I93" s="99">
        <f t="shared" si="21"/>
        <v>10000</v>
      </c>
      <c r="J93" s="116">
        <v>1</v>
      </c>
      <c r="K93" s="86">
        <v>9000</v>
      </c>
      <c r="L93" s="155"/>
      <c r="M93" s="291">
        <v>0</v>
      </c>
      <c r="N93" s="155">
        <v>9000</v>
      </c>
      <c r="O93" s="291">
        <v>0</v>
      </c>
      <c r="P93" s="155"/>
      <c r="Q93" s="291">
        <v>0</v>
      </c>
      <c r="R93" s="155"/>
      <c r="S93" s="400">
        <f>SUMIF(Hoja1!B:B,'Budget YR2-4 DC+Hm'!D:D,Hoja1!G:G)</f>
        <v>200.82999999999998</v>
      </c>
      <c r="T93" s="117">
        <v>1</v>
      </c>
      <c r="U93" s="212">
        <v>9000</v>
      </c>
      <c r="V93" s="116">
        <v>1</v>
      </c>
      <c r="W93" s="212">
        <v>9000</v>
      </c>
      <c r="X93" s="88">
        <f t="shared" si="14"/>
        <v>27000</v>
      </c>
      <c r="Y93" s="99"/>
      <c r="Z93" s="118">
        <v>4</v>
      </c>
      <c r="AA93" s="95">
        <v>1</v>
      </c>
      <c r="AB93" s="95" t="s">
        <v>519</v>
      </c>
      <c r="AC93" s="95" t="s">
        <v>536</v>
      </c>
      <c r="AD93" s="95" t="s">
        <v>647</v>
      </c>
      <c r="AE93" s="95" t="s">
        <v>524</v>
      </c>
    </row>
    <row r="94" spans="1:31" s="95" customFormat="1" ht="21.75">
      <c r="A94" s="63" t="s">
        <v>503</v>
      </c>
      <c r="B94" s="95" t="s">
        <v>32</v>
      </c>
      <c r="C94" s="95" t="s">
        <v>855</v>
      </c>
      <c r="D94" s="276" t="s">
        <v>964</v>
      </c>
      <c r="E94" s="121" t="s">
        <v>652</v>
      </c>
      <c r="F94" s="120">
        <v>0.3333333333333333</v>
      </c>
      <c r="G94" s="49">
        <v>30000</v>
      </c>
      <c r="H94" s="49" t="s">
        <v>97</v>
      </c>
      <c r="I94" s="99">
        <f t="shared" si="21"/>
        <v>10000</v>
      </c>
      <c r="J94" s="116">
        <v>1</v>
      </c>
      <c r="K94" s="86">
        <v>9000</v>
      </c>
      <c r="L94" s="155"/>
      <c r="M94" s="291">
        <v>79.9</v>
      </c>
      <c r="N94" s="155">
        <v>9000</v>
      </c>
      <c r="O94" s="291">
        <v>43.76</v>
      </c>
      <c r="P94" s="155"/>
      <c r="Q94" s="291">
        <v>552.65</v>
      </c>
      <c r="R94" s="155"/>
      <c r="S94" s="400">
        <f>SUMIF(Hoja1!B:B,'Budget YR2-4 DC+Hm'!D:D,Hoja1!G:G)</f>
        <v>0</v>
      </c>
      <c r="T94" s="117">
        <v>1</v>
      </c>
      <c r="U94" s="212">
        <v>9000</v>
      </c>
      <c r="V94" s="116">
        <v>1</v>
      </c>
      <c r="W94" s="212">
        <v>9000</v>
      </c>
      <c r="X94" s="88">
        <f t="shared" si="14"/>
        <v>27000</v>
      </c>
      <c r="Y94" s="99"/>
      <c r="Z94" s="118">
        <v>4</v>
      </c>
      <c r="AA94" s="95">
        <v>1</v>
      </c>
      <c r="AB94" s="95" t="s">
        <v>519</v>
      </c>
      <c r="AC94" s="95" t="s">
        <v>536</v>
      </c>
      <c r="AD94" s="95" t="s">
        <v>647</v>
      </c>
      <c r="AE94" s="95" t="s">
        <v>526</v>
      </c>
    </row>
    <row r="95" spans="1:26" ht="15" customHeight="1">
      <c r="A95" s="63" t="s">
        <v>503</v>
      </c>
      <c r="B95" s="95"/>
      <c r="C95" s="95"/>
      <c r="D95" s="95"/>
      <c r="E95" s="303" t="s">
        <v>653</v>
      </c>
      <c r="F95" s="122"/>
      <c r="G95" s="122"/>
      <c r="H95" s="111"/>
      <c r="I95" s="111"/>
      <c r="J95" s="113"/>
      <c r="K95" s="114"/>
      <c r="L95" s="70"/>
      <c r="M95" s="292"/>
      <c r="N95" s="70"/>
      <c r="O95" s="292"/>
      <c r="P95" s="70"/>
      <c r="Q95" s="291"/>
      <c r="R95" s="70"/>
      <c r="S95" s="292"/>
      <c r="T95" s="111"/>
      <c r="U95" s="112"/>
      <c r="V95" s="113"/>
      <c r="W95" s="114"/>
      <c r="X95" s="88">
        <f t="shared" si="14"/>
        <v>0</v>
      </c>
      <c r="Y95" s="82"/>
      <c r="Z95" s="82"/>
    </row>
    <row r="96" spans="1:31" s="95" customFormat="1" ht="23.25" customHeight="1">
      <c r="A96" s="63" t="s">
        <v>503</v>
      </c>
      <c r="B96" s="95" t="s">
        <v>26</v>
      </c>
      <c r="C96" s="95" t="s">
        <v>853</v>
      </c>
      <c r="D96" s="276" t="s">
        <v>977</v>
      </c>
      <c r="E96" s="83" t="s">
        <v>654</v>
      </c>
      <c r="F96" s="48">
        <v>1</v>
      </c>
      <c r="G96" s="49">
        <v>800</v>
      </c>
      <c r="H96" s="49" t="s">
        <v>90</v>
      </c>
      <c r="I96" s="99">
        <f aca="true" t="shared" si="22" ref="I96:I107">F96*G96</f>
        <v>800</v>
      </c>
      <c r="J96" s="116">
        <v>12</v>
      </c>
      <c r="K96" s="86">
        <f aca="true" t="shared" si="23" ref="K96:K107">J96*I96</f>
        <v>9600</v>
      </c>
      <c r="L96" s="155">
        <f aca="true" t="shared" si="24" ref="L96:L107">K96/4</f>
        <v>2400</v>
      </c>
      <c r="M96" s="291">
        <v>0</v>
      </c>
      <c r="N96" s="155">
        <f aca="true" t="shared" si="25" ref="N96:N107">K96/4</f>
        <v>2400</v>
      </c>
      <c r="O96" s="291">
        <v>0</v>
      </c>
      <c r="P96" s="155">
        <f aca="true" t="shared" si="26" ref="P96:P107">K96/4</f>
        <v>2400</v>
      </c>
      <c r="Q96" s="291">
        <v>0</v>
      </c>
      <c r="R96" s="155">
        <f aca="true" t="shared" si="27" ref="R96:R107">K96/4</f>
        <v>2400</v>
      </c>
      <c r="S96" s="291">
        <f>SUMIF(Hoja1!B:B,'Budget YR2-4 DC+Hm'!D:D,Hoja1!G:G)</f>
        <v>727.79</v>
      </c>
      <c r="T96" s="117">
        <v>12</v>
      </c>
      <c r="U96" s="84">
        <f aca="true" t="shared" si="28" ref="U96:U107">T96*I96</f>
        <v>9600</v>
      </c>
      <c r="V96" s="116">
        <v>12</v>
      </c>
      <c r="W96" s="86">
        <f aca="true" t="shared" si="29" ref="W96:W107">V96*I96</f>
        <v>9600</v>
      </c>
      <c r="X96" s="88">
        <f t="shared" si="14"/>
        <v>28800</v>
      </c>
      <c r="Y96" s="99" t="s">
        <v>655</v>
      </c>
      <c r="Z96" s="118">
        <v>4</v>
      </c>
      <c r="AA96" s="95">
        <v>1</v>
      </c>
      <c r="AB96" s="95" t="s">
        <v>519</v>
      </c>
      <c r="AC96" s="95" t="s">
        <v>536</v>
      </c>
      <c r="AD96" s="63" t="s">
        <v>521</v>
      </c>
      <c r="AE96" s="95" t="s">
        <v>522</v>
      </c>
    </row>
    <row r="97" spans="1:31" s="95" customFormat="1" ht="23.25" customHeight="1">
      <c r="A97" s="63" t="s">
        <v>503</v>
      </c>
      <c r="B97" s="95" t="s">
        <v>26</v>
      </c>
      <c r="C97" s="95" t="s">
        <v>853</v>
      </c>
      <c r="D97" s="276" t="s">
        <v>976</v>
      </c>
      <c r="E97" s="83" t="s">
        <v>656</v>
      </c>
      <c r="F97" s="48">
        <v>1</v>
      </c>
      <c r="G97" s="49">
        <v>800</v>
      </c>
      <c r="H97" s="49" t="s">
        <v>90</v>
      </c>
      <c r="I97" s="99">
        <f t="shared" si="22"/>
        <v>800</v>
      </c>
      <c r="J97" s="116">
        <v>12</v>
      </c>
      <c r="K97" s="86">
        <f t="shared" si="23"/>
        <v>9600</v>
      </c>
      <c r="L97" s="155">
        <f t="shared" si="24"/>
        <v>2400</v>
      </c>
      <c r="M97" s="291">
        <v>0</v>
      </c>
      <c r="N97" s="155">
        <f t="shared" si="25"/>
        <v>2400</v>
      </c>
      <c r="O97" s="291">
        <v>0</v>
      </c>
      <c r="P97" s="155">
        <f t="shared" si="26"/>
        <v>2400</v>
      </c>
      <c r="Q97" s="291">
        <v>0</v>
      </c>
      <c r="R97" s="155">
        <f t="shared" si="27"/>
        <v>2400</v>
      </c>
      <c r="S97" s="291">
        <f>SUMIF(Hoja1!B:B,'Budget YR2-4 DC+Hm'!D:D,Hoja1!G:G)</f>
        <v>589.5699999999999</v>
      </c>
      <c r="T97" s="117">
        <v>12</v>
      </c>
      <c r="U97" s="84">
        <f t="shared" si="28"/>
        <v>9600</v>
      </c>
      <c r="V97" s="116">
        <v>12</v>
      </c>
      <c r="W97" s="86">
        <f t="shared" si="29"/>
        <v>9600</v>
      </c>
      <c r="X97" s="88">
        <f t="shared" si="14"/>
        <v>28800</v>
      </c>
      <c r="Y97" s="99" t="s">
        <v>655</v>
      </c>
      <c r="Z97" s="118">
        <v>4</v>
      </c>
      <c r="AA97" s="95">
        <v>1</v>
      </c>
      <c r="AB97" s="95" t="s">
        <v>519</v>
      </c>
      <c r="AC97" s="95" t="s">
        <v>536</v>
      </c>
      <c r="AD97" s="63" t="s">
        <v>521</v>
      </c>
      <c r="AE97" s="95" t="s">
        <v>524</v>
      </c>
    </row>
    <row r="98" spans="1:31" s="95" customFormat="1" ht="23.25" customHeight="1">
      <c r="A98" s="63" t="s">
        <v>503</v>
      </c>
      <c r="B98" s="95" t="s">
        <v>26</v>
      </c>
      <c r="C98" s="95" t="s">
        <v>853</v>
      </c>
      <c r="D98" s="276" t="s">
        <v>982</v>
      </c>
      <c r="E98" s="83" t="s">
        <v>657</v>
      </c>
      <c r="F98" s="48">
        <v>1</v>
      </c>
      <c r="G98" s="49">
        <v>800</v>
      </c>
      <c r="H98" s="49" t="s">
        <v>90</v>
      </c>
      <c r="I98" s="99">
        <f t="shared" si="22"/>
        <v>800</v>
      </c>
      <c r="J98" s="116">
        <v>12</v>
      </c>
      <c r="K98" s="86">
        <f t="shared" si="23"/>
        <v>9600</v>
      </c>
      <c r="L98" s="155">
        <f t="shared" si="24"/>
        <v>2400</v>
      </c>
      <c r="M98" s="291">
        <v>0</v>
      </c>
      <c r="N98" s="155">
        <f t="shared" si="25"/>
        <v>2400</v>
      </c>
      <c r="O98" s="291">
        <v>0</v>
      </c>
      <c r="P98" s="155">
        <f t="shared" si="26"/>
        <v>2400</v>
      </c>
      <c r="Q98" s="291">
        <v>703.6</v>
      </c>
      <c r="R98" s="155">
        <f t="shared" si="27"/>
        <v>2400</v>
      </c>
      <c r="S98" s="291">
        <f>SUMIF(Hoja1!B:B,'Budget YR2-4 DC+Hm'!D:D,Hoja1!G:G)</f>
        <v>1223.77</v>
      </c>
      <c r="T98" s="117">
        <v>12</v>
      </c>
      <c r="U98" s="84">
        <f t="shared" si="28"/>
        <v>9600</v>
      </c>
      <c r="V98" s="116">
        <v>12</v>
      </c>
      <c r="W98" s="86">
        <f t="shared" si="29"/>
        <v>9600</v>
      </c>
      <c r="X98" s="88">
        <f t="shared" si="14"/>
        <v>28800</v>
      </c>
      <c r="Y98" s="99" t="s">
        <v>655</v>
      </c>
      <c r="Z98" s="118">
        <v>4</v>
      </c>
      <c r="AA98" s="95">
        <v>1</v>
      </c>
      <c r="AB98" s="95" t="s">
        <v>519</v>
      </c>
      <c r="AC98" s="95" t="s">
        <v>536</v>
      </c>
      <c r="AD98" s="63" t="s">
        <v>521</v>
      </c>
      <c r="AE98" s="95" t="s">
        <v>526</v>
      </c>
    </row>
    <row r="99" spans="1:31" s="95" customFormat="1" ht="10.5">
      <c r="A99" s="63" t="s">
        <v>503</v>
      </c>
      <c r="B99" s="95" t="s">
        <v>34</v>
      </c>
      <c r="C99" s="95" t="s">
        <v>853</v>
      </c>
      <c r="D99" s="276" t="s">
        <v>1019</v>
      </c>
      <c r="E99" s="83" t="s">
        <v>590</v>
      </c>
      <c r="F99" s="48">
        <v>1</v>
      </c>
      <c r="G99" s="49">
        <v>3200</v>
      </c>
      <c r="H99" s="49" t="s">
        <v>90</v>
      </c>
      <c r="I99" s="99">
        <f t="shared" si="22"/>
        <v>3200</v>
      </c>
      <c r="J99" s="116">
        <v>9</v>
      </c>
      <c r="K99" s="86">
        <f t="shared" si="23"/>
        <v>28800</v>
      </c>
      <c r="L99" s="155">
        <f t="shared" si="24"/>
        <v>7200</v>
      </c>
      <c r="M99" s="291">
        <v>7200</v>
      </c>
      <c r="N99" s="155">
        <f t="shared" si="25"/>
        <v>7200</v>
      </c>
      <c r="O99" s="291">
        <v>9600</v>
      </c>
      <c r="P99" s="155">
        <f t="shared" si="26"/>
        <v>7200</v>
      </c>
      <c r="Q99" s="291">
        <f>-12800</f>
        <v>-12800</v>
      </c>
      <c r="R99" s="155">
        <f t="shared" si="27"/>
        <v>7200</v>
      </c>
      <c r="S99" s="291">
        <f>SUMIF(Hoja1!B:B,'Budget YR2-4 DC+Hm'!D:D,Hoja1!G:G)</f>
        <v>0</v>
      </c>
      <c r="T99" s="117">
        <v>12</v>
      </c>
      <c r="U99" s="84">
        <f t="shared" si="28"/>
        <v>38400</v>
      </c>
      <c r="V99" s="116">
        <v>12</v>
      </c>
      <c r="W99" s="86">
        <f t="shared" si="29"/>
        <v>38400</v>
      </c>
      <c r="X99" s="88">
        <f t="shared" si="14"/>
        <v>105600</v>
      </c>
      <c r="Y99" s="99" t="s">
        <v>658</v>
      </c>
      <c r="Z99" s="118">
        <v>4</v>
      </c>
      <c r="AA99" s="95">
        <v>1</v>
      </c>
      <c r="AB99" s="95" t="s">
        <v>519</v>
      </c>
      <c r="AC99" s="95" t="s">
        <v>536</v>
      </c>
      <c r="AD99" s="95" t="s">
        <v>592</v>
      </c>
      <c r="AE99" s="95" t="s">
        <v>522</v>
      </c>
    </row>
    <row r="100" spans="1:31" s="95" customFormat="1" ht="10.5">
      <c r="A100" s="63" t="s">
        <v>503</v>
      </c>
      <c r="B100" s="95" t="s">
        <v>34</v>
      </c>
      <c r="C100" s="95" t="s">
        <v>853</v>
      </c>
      <c r="D100" s="276" t="s">
        <v>1018</v>
      </c>
      <c r="E100" s="83" t="s">
        <v>659</v>
      </c>
      <c r="F100" s="48">
        <v>1</v>
      </c>
      <c r="G100" s="49">
        <v>3200</v>
      </c>
      <c r="H100" s="49" t="s">
        <v>90</v>
      </c>
      <c r="I100" s="99">
        <f t="shared" si="22"/>
        <v>3200</v>
      </c>
      <c r="J100" s="116">
        <v>9</v>
      </c>
      <c r="K100" s="86">
        <f t="shared" si="23"/>
        <v>28800</v>
      </c>
      <c r="L100" s="155">
        <f t="shared" si="24"/>
        <v>7200</v>
      </c>
      <c r="M100" s="291">
        <v>0</v>
      </c>
      <c r="N100" s="155">
        <f t="shared" si="25"/>
        <v>7200</v>
      </c>
      <c r="O100" s="291">
        <v>1240.6799999999998</v>
      </c>
      <c r="P100" s="155">
        <f t="shared" si="26"/>
        <v>7200</v>
      </c>
      <c r="Q100" s="291">
        <v>0</v>
      </c>
      <c r="R100" s="155">
        <f t="shared" si="27"/>
        <v>7200</v>
      </c>
      <c r="S100" s="291">
        <f>SUMIF(Hoja1!B:B,'Budget YR2-4 DC+Hm'!D:D,Hoja1!G:G)</f>
        <v>1422.38</v>
      </c>
      <c r="T100" s="117">
        <v>12</v>
      </c>
      <c r="U100" s="84">
        <f t="shared" si="28"/>
        <v>38400</v>
      </c>
      <c r="V100" s="116">
        <v>12</v>
      </c>
      <c r="W100" s="86">
        <f t="shared" si="29"/>
        <v>38400</v>
      </c>
      <c r="X100" s="88">
        <f t="shared" si="14"/>
        <v>105600</v>
      </c>
      <c r="Y100" s="99" t="s">
        <v>658</v>
      </c>
      <c r="Z100" s="118">
        <v>4</v>
      </c>
      <c r="AA100" s="95">
        <v>1</v>
      </c>
      <c r="AB100" s="95" t="s">
        <v>519</v>
      </c>
      <c r="AC100" s="95" t="s">
        <v>536</v>
      </c>
      <c r="AD100" s="95" t="s">
        <v>592</v>
      </c>
      <c r="AE100" s="95" t="s">
        <v>524</v>
      </c>
    </row>
    <row r="101" spans="1:31" s="95" customFormat="1" ht="10.5">
      <c r="A101" s="63" t="s">
        <v>503</v>
      </c>
      <c r="B101" s="95" t="s">
        <v>34</v>
      </c>
      <c r="C101" s="95" t="s">
        <v>853</v>
      </c>
      <c r="D101" s="276" t="s">
        <v>1017</v>
      </c>
      <c r="E101" s="83" t="s">
        <v>660</v>
      </c>
      <c r="F101" s="48">
        <v>1</v>
      </c>
      <c r="G101" s="49">
        <v>3200</v>
      </c>
      <c r="H101" s="49" t="s">
        <v>90</v>
      </c>
      <c r="I101" s="99">
        <f t="shared" si="22"/>
        <v>3200</v>
      </c>
      <c r="J101" s="116">
        <v>9</v>
      </c>
      <c r="K101" s="86">
        <f t="shared" si="23"/>
        <v>28800</v>
      </c>
      <c r="L101" s="155">
        <f t="shared" si="24"/>
        <v>7200</v>
      </c>
      <c r="M101" s="291">
        <v>3301.69</v>
      </c>
      <c r="N101" s="155">
        <f t="shared" si="25"/>
        <v>7200</v>
      </c>
      <c r="O101" s="291">
        <v>10427.529999999999</v>
      </c>
      <c r="P101" s="155">
        <f t="shared" si="26"/>
        <v>7200</v>
      </c>
      <c r="Q101" s="291">
        <v>-12800</v>
      </c>
      <c r="R101" s="155">
        <f t="shared" si="27"/>
        <v>7200</v>
      </c>
      <c r="S101" s="291">
        <f>SUMIF(Hoja1!B:B,'Budget YR2-4 DC+Hm'!D:D,Hoja1!G:G)</f>
        <v>993.35</v>
      </c>
      <c r="T101" s="117">
        <v>12</v>
      </c>
      <c r="U101" s="84">
        <f t="shared" si="28"/>
        <v>38400</v>
      </c>
      <c r="V101" s="116">
        <v>12</v>
      </c>
      <c r="W101" s="86">
        <f t="shared" si="29"/>
        <v>38400</v>
      </c>
      <c r="X101" s="88">
        <f t="shared" si="14"/>
        <v>105600</v>
      </c>
      <c r="Y101" s="99" t="s">
        <v>658</v>
      </c>
      <c r="Z101" s="118">
        <v>4</v>
      </c>
      <c r="AA101" s="95">
        <v>1</v>
      </c>
      <c r="AB101" s="95" t="s">
        <v>519</v>
      </c>
      <c r="AC101" s="95" t="s">
        <v>536</v>
      </c>
      <c r="AD101" s="95" t="s">
        <v>592</v>
      </c>
      <c r="AE101" s="95" t="s">
        <v>526</v>
      </c>
    </row>
    <row r="102" spans="1:31" s="95" customFormat="1" ht="21.75">
      <c r="A102" s="63" t="s">
        <v>503</v>
      </c>
      <c r="B102" s="95" t="s">
        <v>34</v>
      </c>
      <c r="C102" s="95" t="s">
        <v>59</v>
      </c>
      <c r="D102" s="276" t="s">
        <v>1022</v>
      </c>
      <c r="E102" s="83" t="s">
        <v>661</v>
      </c>
      <c r="F102" s="48">
        <v>2</v>
      </c>
      <c r="G102" s="49">
        <v>500</v>
      </c>
      <c r="H102" s="49" t="s">
        <v>90</v>
      </c>
      <c r="I102" s="99">
        <f t="shared" si="22"/>
        <v>1000</v>
      </c>
      <c r="J102" s="116">
        <v>3</v>
      </c>
      <c r="K102" s="86">
        <f>J102*I102+'Budget YR1 DC'!O37</f>
        <v>4189.73</v>
      </c>
      <c r="L102" s="155">
        <f t="shared" si="24"/>
        <v>1047.4325</v>
      </c>
      <c r="M102" s="291">
        <v>676.05</v>
      </c>
      <c r="N102" s="155">
        <f t="shared" si="25"/>
        <v>1047.4325</v>
      </c>
      <c r="O102" s="291">
        <v>1124.2900000000002</v>
      </c>
      <c r="P102" s="155">
        <f t="shared" si="26"/>
        <v>1047.4325</v>
      </c>
      <c r="Q102" s="291">
        <v>844.3</v>
      </c>
      <c r="R102" s="155">
        <f t="shared" si="27"/>
        <v>1047.4325</v>
      </c>
      <c r="S102" s="291">
        <f>SUMIF(Hoja1!B:B,'Budget YR2-4 DC+Hm'!D:D,Hoja1!G:G)</f>
        <v>287.33</v>
      </c>
      <c r="T102" s="117">
        <v>6</v>
      </c>
      <c r="U102" s="84">
        <f t="shared" si="28"/>
        <v>6000</v>
      </c>
      <c r="V102" s="116">
        <v>12</v>
      </c>
      <c r="W102" s="86">
        <f t="shared" si="29"/>
        <v>12000</v>
      </c>
      <c r="X102" s="88">
        <f t="shared" si="14"/>
        <v>22189.73</v>
      </c>
      <c r="Y102" s="99"/>
      <c r="Z102" s="118">
        <v>4</v>
      </c>
      <c r="AA102" s="95">
        <v>1</v>
      </c>
      <c r="AB102" s="95" t="s">
        <v>519</v>
      </c>
      <c r="AC102" s="95" t="s">
        <v>536</v>
      </c>
      <c r="AD102" s="95" t="s">
        <v>592</v>
      </c>
      <c r="AE102" s="95" t="s">
        <v>522</v>
      </c>
    </row>
    <row r="103" spans="1:31" s="95" customFormat="1" ht="21.75">
      <c r="A103" s="63" t="s">
        <v>503</v>
      </c>
      <c r="B103" s="95" t="s">
        <v>34</v>
      </c>
      <c r="C103" s="95" t="s">
        <v>59</v>
      </c>
      <c r="D103" s="276" t="s">
        <v>1020</v>
      </c>
      <c r="E103" s="83" t="s">
        <v>662</v>
      </c>
      <c r="F103" s="48">
        <v>2</v>
      </c>
      <c r="G103" s="49">
        <v>500</v>
      </c>
      <c r="H103" s="49" t="s">
        <v>90</v>
      </c>
      <c r="I103" s="99">
        <f t="shared" si="22"/>
        <v>1000</v>
      </c>
      <c r="J103" s="116">
        <v>3</v>
      </c>
      <c r="K103" s="86">
        <f t="shared" si="23"/>
        <v>3000</v>
      </c>
      <c r="L103" s="155">
        <f t="shared" si="24"/>
        <v>750</v>
      </c>
      <c r="M103" s="291">
        <v>1421.3600000000001</v>
      </c>
      <c r="N103" s="155">
        <f t="shared" si="25"/>
        <v>750</v>
      </c>
      <c r="O103" s="291">
        <v>6414.64</v>
      </c>
      <c r="P103" s="155">
        <f t="shared" si="26"/>
        <v>750</v>
      </c>
      <c r="Q103" s="291">
        <v>1344.7</v>
      </c>
      <c r="R103" s="155">
        <f t="shared" si="27"/>
        <v>750</v>
      </c>
      <c r="S103" s="291">
        <f>SUMIF(Hoja1!B:B,'Budget YR2-4 DC+Hm'!D:D,Hoja1!G:G)</f>
        <v>692.92</v>
      </c>
      <c r="T103" s="117">
        <v>6</v>
      </c>
      <c r="U103" s="84">
        <f t="shared" si="28"/>
        <v>6000</v>
      </c>
      <c r="V103" s="116">
        <v>12</v>
      </c>
      <c r="W103" s="86">
        <f t="shared" si="29"/>
        <v>12000</v>
      </c>
      <c r="X103" s="88">
        <f t="shared" si="14"/>
        <v>21000</v>
      </c>
      <c r="Y103" s="99"/>
      <c r="Z103" s="118">
        <v>4</v>
      </c>
      <c r="AA103" s="95">
        <v>1</v>
      </c>
      <c r="AB103" s="95" t="s">
        <v>519</v>
      </c>
      <c r="AC103" s="95" t="s">
        <v>536</v>
      </c>
      <c r="AD103" s="95" t="s">
        <v>592</v>
      </c>
      <c r="AE103" s="95" t="s">
        <v>524</v>
      </c>
    </row>
    <row r="104" spans="1:31" s="95" customFormat="1" ht="21.75">
      <c r="A104" s="63" t="s">
        <v>503</v>
      </c>
      <c r="B104" s="95" t="s">
        <v>34</v>
      </c>
      <c r="C104" s="95" t="s">
        <v>59</v>
      </c>
      <c r="D104" s="276" t="s">
        <v>1021</v>
      </c>
      <c r="E104" s="83" t="s">
        <v>663</v>
      </c>
      <c r="F104" s="48">
        <v>2</v>
      </c>
      <c r="G104" s="49">
        <v>500</v>
      </c>
      <c r="H104" s="49" t="s">
        <v>90</v>
      </c>
      <c r="I104" s="99">
        <f t="shared" si="22"/>
        <v>1000</v>
      </c>
      <c r="J104" s="116">
        <v>3</v>
      </c>
      <c r="K104" s="86">
        <f t="shared" si="23"/>
        <v>3000</v>
      </c>
      <c r="L104" s="155">
        <f t="shared" si="24"/>
        <v>750</v>
      </c>
      <c r="M104" s="291">
        <v>10.2</v>
      </c>
      <c r="N104" s="155">
        <f t="shared" si="25"/>
        <v>750</v>
      </c>
      <c r="O104" s="291">
        <v>100.66999999999999</v>
      </c>
      <c r="P104" s="155">
        <f t="shared" si="26"/>
        <v>750</v>
      </c>
      <c r="Q104" s="291">
        <v>826.2299999999999</v>
      </c>
      <c r="R104" s="155">
        <f t="shared" si="27"/>
        <v>750</v>
      </c>
      <c r="S104" s="291">
        <f>SUMIF(Hoja1!B:B,'Budget YR2-4 DC+Hm'!D:D,Hoja1!G:G)</f>
        <v>168.4</v>
      </c>
      <c r="T104" s="117">
        <v>6</v>
      </c>
      <c r="U104" s="84">
        <f t="shared" si="28"/>
        <v>6000</v>
      </c>
      <c r="V104" s="116">
        <v>12</v>
      </c>
      <c r="W104" s="86">
        <f t="shared" si="29"/>
        <v>12000</v>
      </c>
      <c r="X104" s="88">
        <f aca="true" t="shared" si="30" ref="X104:X136">K104+U104+W104</f>
        <v>21000</v>
      </c>
      <c r="Y104" s="99"/>
      <c r="Z104" s="118">
        <v>4</v>
      </c>
      <c r="AA104" s="95">
        <v>1</v>
      </c>
      <c r="AB104" s="95" t="s">
        <v>519</v>
      </c>
      <c r="AC104" s="95" t="s">
        <v>536</v>
      </c>
      <c r="AD104" s="95" t="s">
        <v>592</v>
      </c>
      <c r="AE104" s="95" t="s">
        <v>526</v>
      </c>
    </row>
    <row r="105" spans="1:31" s="95" customFormat="1" ht="16.5" customHeight="1">
      <c r="A105" s="63" t="s">
        <v>503</v>
      </c>
      <c r="B105" s="95" t="s">
        <v>26</v>
      </c>
      <c r="C105" s="95" t="s">
        <v>853</v>
      </c>
      <c r="D105" s="276" t="s">
        <v>1001</v>
      </c>
      <c r="E105" s="83" t="s">
        <v>664</v>
      </c>
      <c r="F105" s="48">
        <v>1</v>
      </c>
      <c r="G105" s="49">
        <v>500</v>
      </c>
      <c r="H105" s="49" t="s">
        <v>90</v>
      </c>
      <c r="I105" s="99">
        <f t="shared" si="22"/>
        <v>500</v>
      </c>
      <c r="J105" s="116">
        <v>12</v>
      </c>
      <c r="K105" s="86">
        <f t="shared" si="23"/>
        <v>6000</v>
      </c>
      <c r="L105" s="155">
        <f t="shared" si="24"/>
        <v>1500</v>
      </c>
      <c r="M105" s="291">
        <v>0</v>
      </c>
      <c r="N105" s="155">
        <f t="shared" si="25"/>
        <v>1500</v>
      </c>
      <c r="O105" s="291">
        <v>0</v>
      </c>
      <c r="P105" s="155">
        <f t="shared" si="26"/>
        <v>1500</v>
      </c>
      <c r="Q105" s="291">
        <v>7146.92</v>
      </c>
      <c r="R105" s="155">
        <f t="shared" si="27"/>
        <v>1500</v>
      </c>
      <c r="S105" s="291">
        <f>SUMIF(Hoja1!B:B,'Budget YR2-4 DC+Hm'!D:D,Hoja1!G:G)</f>
        <v>0</v>
      </c>
      <c r="T105" s="117">
        <v>12</v>
      </c>
      <c r="U105" s="84">
        <f t="shared" si="28"/>
        <v>6000</v>
      </c>
      <c r="V105" s="116">
        <v>12</v>
      </c>
      <c r="W105" s="86">
        <f t="shared" si="29"/>
        <v>6000</v>
      </c>
      <c r="X105" s="88">
        <f t="shared" si="30"/>
        <v>18000</v>
      </c>
      <c r="Y105" s="99"/>
      <c r="Z105" s="118">
        <v>4</v>
      </c>
      <c r="AA105" s="95">
        <v>1</v>
      </c>
      <c r="AB105" s="95" t="s">
        <v>519</v>
      </c>
      <c r="AC105" s="95" t="s">
        <v>536</v>
      </c>
      <c r="AD105" s="63" t="s">
        <v>521</v>
      </c>
      <c r="AE105" s="95" t="s">
        <v>522</v>
      </c>
    </row>
    <row r="106" spans="1:31" s="95" customFormat="1" ht="16.5" customHeight="1">
      <c r="A106" s="63" t="s">
        <v>503</v>
      </c>
      <c r="B106" s="95" t="s">
        <v>26</v>
      </c>
      <c r="C106" s="95" t="s">
        <v>853</v>
      </c>
      <c r="D106" s="276" t="s">
        <v>1000</v>
      </c>
      <c r="E106" s="83" t="s">
        <v>665</v>
      </c>
      <c r="F106" s="48">
        <v>1</v>
      </c>
      <c r="G106" s="49">
        <v>500</v>
      </c>
      <c r="H106" s="49" t="s">
        <v>90</v>
      </c>
      <c r="I106" s="99">
        <f t="shared" si="22"/>
        <v>500</v>
      </c>
      <c r="J106" s="116">
        <v>12</v>
      </c>
      <c r="K106" s="86">
        <f t="shared" si="23"/>
        <v>6000</v>
      </c>
      <c r="L106" s="155">
        <f t="shared" si="24"/>
        <v>1500</v>
      </c>
      <c r="M106" s="291">
        <v>0</v>
      </c>
      <c r="N106" s="155">
        <f t="shared" si="25"/>
        <v>1500</v>
      </c>
      <c r="O106" s="291">
        <v>0</v>
      </c>
      <c r="P106" s="155">
        <f t="shared" si="26"/>
        <v>1500</v>
      </c>
      <c r="Q106" s="291">
        <v>735.7600000000001</v>
      </c>
      <c r="R106" s="155">
        <f t="shared" si="27"/>
        <v>1500</v>
      </c>
      <c r="S106" s="291">
        <f>SUMIF(Hoja1!B:B,'Budget YR2-4 DC+Hm'!D:D,Hoja1!G:G)</f>
        <v>1892.6499999999999</v>
      </c>
      <c r="T106" s="117">
        <v>12</v>
      </c>
      <c r="U106" s="84">
        <f t="shared" si="28"/>
        <v>6000</v>
      </c>
      <c r="V106" s="116">
        <v>12</v>
      </c>
      <c r="W106" s="86">
        <f t="shared" si="29"/>
        <v>6000</v>
      </c>
      <c r="X106" s="88">
        <f t="shared" si="30"/>
        <v>18000</v>
      </c>
      <c r="Y106" s="99"/>
      <c r="Z106" s="118">
        <v>4</v>
      </c>
      <c r="AA106" s="95">
        <v>1</v>
      </c>
      <c r="AB106" s="95" t="s">
        <v>519</v>
      </c>
      <c r="AC106" s="95" t="s">
        <v>536</v>
      </c>
      <c r="AD106" s="63" t="s">
        <v>521</v>
      </c>
      <c r="AE106" s="95" t="s">
        <v>524</v>
      </c>
    </row>
    <row r="107" spans="1:31" s="95" customFormat="1" ht="16.5" customHeight="1">
      <c r="A107" s="63" t="s">
        <v>503</v>
      </c>
      <c r="B107" s="95" t="s">
        <v>26</v>
      </c>
      <c r="C107" s="95" t="s">
        <v>853</v>
      </c>
      <c r="D107" s="276" t="s">
        <v>999</v>
      </c>
      <c r="E107" s="83" t="s">
        <v>666</v>
      </c>
      <c r="F107" s="48">
        <v>1</v>
      </c>
      <c r="G107" s="49">
        <v>500</v>
      </c>
      <c r="H107" s="49" t="s">
        <v>90</v>
      </c>
      <c r="I107" s="99">
        <f t="shared" si="22"/>
        <v>500</v>
      </c>
      <c r="J107" s="116">
        <v>12</v>
      </c>
      <c r="K107" s="86">
        <f t="shared" si="23"/>
        <v>6000</v>
      </c>
      <c r="L107" s="155">
        <f t="shared" si="24"/>
        <v>1500</v>
      </c>
      <c r="M107" s="291">
        <v>0</v>
      </c>
      <c r="N107" s="155">
        <f t="shared" si="25"/>
        <v>1500</v>
      </c>
      <c r="O107" s="291">
        <v>0</v>
      </c>
      <c r="P107" s="155">
        <f t="shared" si="26"/>
        <v>1500</v>
      </c>
      <c r="Q107" s="291">
        <v>231.33999999999997</v>
      </c>
      <c r="R107" s="155">
        <f t="shared" si="27"/>
        <v>1500</v>
      </c>
      <c r="S107" s="291">
        <f>SUMIF(Hoja1!B:B,'Budget YR2-4 DC+Hm'!D:D,Hoja1!G:G)</f>
        <v>0</v>
      </c>
      <c r="T107" s="117">
        <v>12</v>
      </c>
      <c r="U107" s="84">
        <f t="shared" si="28"/>
        <v>6000</v>
      </c>
      <c r="V107" s="116">
        <v>12</v>
      </c>
      <c r="W107" s="86">
        <f t="shared" si="29"/>
        <v>6000</v>
      </c>
      <c r="X107" s="88">
        <f t="shared" si="30"/>
        <v>18000</v>
      </c>
      <c r="Y107" s="99"/>
      <c r="Z107" s="118">
        <v>4</v>
      </c>
      <c r="AA107" s="95">
        <v>1</v>
      </c>
      <c r="AB107" s="95" t="s">
        <v>519</v>
      </c>
      <c r="AC107" s="95" t="s">
        <v>536</v>
      </c>
      <c r="AD107" s="63" t="s">
        <v>521</v>
      </c>
      <c r="AE107" s="95" t="s">
        <v>526</v>
      </c>
    </row>
    <row r="108" spans="1:26" ht="15" customHeight="1">
      <c r="A108" s="63" t="s">
        <v>503</v>
      </c>
      <c r="B108" s="95"/>
      <c r="C108" s="95"/>
      <c r="D108" s="95"/>
      <c r="E108" s="302" t="s">
        <v>667</v>
      </c>
      <c r="F108" s="110"/>
      <c r="G108" s="110"/>
      <c r="H108" s="111"/>
      <c r="I108" s="111"/>
      <c r="J108" s="113"/>
      <c r="K108" s="114"/>
      <c r="L108" s="70"/>
      <c r="M108" s="292"/>
      <c r="N108" s="70"/>
      <c r="O108" s="292"/>
      <c r="P108" s="70"/>
      <c r="Q108" s="291"/>
      <c r="R108" s="70"/>
      <c r="S108" s="292"/>
      <c r="T108" s="111"/>
      <c r="U108" s="112"/>
      <c r="V108" s="113"/>
      <c r="W108" s="114"/>
      <c r="X108" s="88">
        <f t="shared" si="30"/>
        <v>0</v>
      </c>
      <c r="Y108" s="82"/>
      <c r="Z108" s="82"/>
    </row>
    <row r="109" spans="1:31" ht="21.75">
      <c r="A109" s="63" t="s">
        <v>503</v>
      </c>
      <c r="B109" s="95" t="s">
        <v>33</v>
      </c>
      <c r="C109" s="95" t="s">
        <v>854</v>
      </c>
      <c r="D109" s="95" t="s">
        <v>1050</v>
      </c>
      <c r="E109" s="83" t="s">
        <v>668</v>
      </c>
      <c r="F109" s="43">
        <v>1</v>
      </c>
      <c r="G109" s="47">
        <v>100</v>
      </c>
      <c r="H109" s="47" t="s">
        <v>90</v>
      </c>
      <c r="I109" s="99">
        <f aca="true" t="shared" si="31" ref="I109:I126">F109*G109</f>
        <v>100</v>
      </c>
      <c r="J109" s="85">
        <v>12</v>
      </c>
      <c r="K109" s="86">
        <f>J109*I109+4000</f>
        <v>5200</v>
      </c>
      <c r="L109" s="155">
        <f aca="true" t="shared" si="32" ref="L109:L117">K109/4</f>
        <v>1300</v>
      </c>
      <c r="M109" s="291">
        <v>0.61</v>
      </c>
      <c r="N109" s="155">
        <f aca="true" t="shared" si="33" ref="N109:N117">K109/4</f>
        <v>1300</v>
      </c>
      <c r="O109" s="291">
        <v>653.3399999999999</v>
      </c>
      <c r="P109" s="155">
        <f aca="true" t="shared" si="34" ref="P109:P117">K109/4</f>
        <v>1300</v>
      </c>
      <c r="Q109" s="291">
        <v>196.17</v>
      </c>
      <c r="R109" s="155">
        <f aca="true" t="shared" si="35" ref="R109:R117">K109/4</f>
        <v>1300</v>
      </c>
      <c r="S109" s="291">
        <f>SUMIF(Hoja1!B:B,'Budget YR2-4 DC+Hm'!D:D,Hoja1!G:G)</f>
        <v>175.24</v>
      </c>
      <c r="T109" s="87">
        <v>12</v>
      </c>
      <c r="U109" s="84">
        <f aca="true" t="shared" si="36" ref="U109:U127">T109*I109</f>
        <v>1200</v>
      </c>
      <c r="V109" s="85">
        <v>12</v>
      </c>
      <c r="W109" s="86">
        <f aca="true" t="shared" si="37" ref="W109:W127">V109*I109</f>
        <v>1200</v>
      </c>
      <c r="X109" s="88">
        <f t="shared" si="30"/>
        <v>7600</v>
      </c>
      <c r="Y109" s="89" t="s">
        <v>669</v>
      </c>
      <c r="Z109" s="65" t="s">
        <v>670</v>
      </c>
      <c r="AA109" s="63" t="s">
        <v>519</v>
      </c>
      <c r="AB109" s="63" t="s">
        <v>519</v>
      </c>
      <c r="AC109" s="63" t="s">
        <v>520</v>
      </c>
      <c r="AD109" s="63" t="s">
        <v>647</v>
      </c>
      <c r="AE109" s="95" t="s">
        <v>522</v>
      </c>
    </row>
    <row r="110" spans="1:31" ht="21.75">
      <c r="A110" s="63" t="s">
        <v>503</v>
      </c>
      <c r="B110" s="95" t="s">
        <v>33</v>
      </c>
      <c r="C110" s="95" t="s">
        <v>854</v>
      </c>
      <c r="D110" s="95" t="s">
        <v>1051</v>
      </c>
      <c r="E110" s="83" t="s">
        <v>671</v>
      </c>
      <c r="F110" s="43">
        <v>1</v>
      </c>
      <c r="G110" s="47">
        <v>100</v>
      </c>
      <c r="H110" s="47" t="s">
        <v>90</v>
      </c>
      <c r="I110" s="99">
        <f t="shared" si="31"/>
        <v>100</v>
      </c>
      <c r="J110" s="85">
        <v>12</v>
      </c>
      <c r="K110" s="86">
        <f>J110*I110+'Budget YR1 DC'!O47</f>
        <v>2000</v>
      </c>
      <c r="L110" s="155">
        <f t="shared" si="32"/>
        <v>500</v>
      </c>
      <c r="M110" s="291">
        <v>0</v>
      </c>
      <c r="N110" s="155">
        <f t="shared" si="33"/>
        <v>500</v>
      </c>
      <c r="O110" s="291">
        <v>82.46</v>
      </c>
      <c r="P110" s="155">
        <f t="shared" si="34"/>
        <v>500</v>
      </c>
      <c r="Q110" s="291">
        <v>55.71</v>
      </c>
      <c r="R110" s="155">
        <f t="shared" si="35"/>
        <v>500</v>
      </c>
      <c r="S110" s="291">
        <f>SUMIF(Hoja1!B:B,'Budget YR2-4 DC+Hm'!D:D,Hoja1!G:G)</f>
        <v>0</v>
      </c>
      <c r="T110" s="87">
        <v>12</v>
      </c>
      <c r="U110" s="84">
        <f t="shared" si="36"/>
        <v>1200</v>
      </c>
      <c r="V110" s="85">
        <v>12</v>
      </c>
      <c r="W110" s="86">
        <f t="shared" si="37"/>
        <v>1200</v>
      </c>
      <c r="X110" s="88">
        <f t="shared" si="30"/>
        <v>4400</v>
      </c>
      <c r="Y110" s="89" t="s">
        <v>669</v>
      </c>
      <c r="Z110" s="65" t="s">
        <v>670</v>
      </c>
      <c r="AA110" s="63" t="s">
        <v>519</v>
      </c>
      <c r="AB110" s="63" t="s">
        <v>519</v>
      </c>
      <c r="AC110" s="63" t="s">
        <v>520</v>
      </c>
      <c r="AD110" s="63" t="s">
        <v>647</v>
      </c>
      <c r="AE110" s="95" t="s">
        <v>524</v>
      </c>
    </row>
    <row r="111" spans="1:31" ht="21.75">
      <c r="A111" s="63" t="s">
        <v>503</v>
      </c>
      <c r="B111" s="95" t="s">
        <v>33</v>
      </c>
      <c r="C111" s="95" t="s">
        <v>854</v>
      </c>
      <c r="D111" s="95" t="s">
        <v>1052</v>
      </c>
      <c r="E111" s="83" t="s">
        <v>672</v>
      </c>
      <c r="F111" s="43">
        <v>1</v>
      </c>
      <c r="G111" s="47">
        <v>100</v>
      </c>
      <c r="H111" s="47" t="s">
        <v>90</v>
      </c>
      <c r="I111" s="99">
        <f t="shared" si="31"/>
        <v>100</v>
      </c>
      <c r="J111" s="85">
        <v>12</v>
      </c>
      <c r="K111" s="86">
        <f aca="true" t="shared" si="38" ref="K111:K127">J111*I111</f>
        <v>1200</v>
      </c>
      <c r="L111" s="155">
        <f t="shared" si="32"/>
        <v>300</v>
      </c>
      <c r="M111" s="291">
        <v>0</v>
      </c>
      <c r="N111" s="155">
        <f t="shared" si="33"/>
        <v>300</v>
      </c>
      <c r="O111" s="291">
        <v>127.78999999999999</v>
      </c>
      <c r="P111" s="155">
        <f t="shared" si="34"/>
        <v>300</v>
      </c>
      <c r="Q111" s="291">
        <v>24.12</v>
      </c>
      <c r="R111" s="155">
        <f t="shared" si="35"/>
        <v>300</v>
      </c>
      <c r="S111" s="291">
        <f>SUMIF(Hoja1!B:B,'Budget YR2-4 DC+Hm'!D:D,Hoja1!G:G)</f>
        <v>0</v>
      </c>
      <c r="T111" s="87">
        <v>12</v>
      </c>
      <c r="U111" s="84">
        <f t="shared" si="36"/>
        <v>1200</v>
      </c>
      <c r="V111" s="85">
        <v>12</v>
      </c>
      <c r="W111" s="86">
        <f t="shared" si="37"/>
        <v>1200</v>
      </c>
      <c r="X111" s="88">
        <f t="shared" si="30"/>
        <v>3600</v>
      </c>
      <c r="Y111" s="89" t="s">
        <v>669</v>
      </c>
      <c r="Z111" s="65" t="s">
        <v>670</v>
      </c>
      <c r="AA111" s="63" t="s">
        <v>519</v>
      </c>
      <c r="AB111" s="63" t="s">
        <v>519</v>
      </c>
      <c r="AC111" s="63" t="s">
        <v>520</v>
      </c>
      <c r="AD111" s="63" t="s">
        <v>647</v>
      </c>
      <c r="AE111" s="95" t="s">
        <v>526</v>
      </c>
    </row>
    <row r="112" spans="1:31" ht="21.75">
      <c r="A112" s="63" t="s">
        <v>503</v>
      </c>
      <c r="B112" s="95" t="s">
        <v>33</v>
      </c>
      <c r="C112" s="95" t="s">
        <v>854</v>
      </c>
      <c r="D112" s="95" t="s">
        <v>1053</v>
      </c>
      <c r="E112" s="83" t="s">
        <v>673</v>
      </c>
      <c r="F112" s="43">
        <v>1</v>
      </c>
      <c r="G112" s="47">
        <v>166.66666666666666</v>
      </c>
      <c r="H112" s="47" t="s">
        <v>90</v>
      </c>
      <c r="I112" s="99">
        <f t="shared" si="31"/>
        <v>166.66666666666666</v>
      </c>
      <c r="J112" s="85">
        <v>12</v>
      </c>
      <c r="K112" s="86">
        <f t="shared" si="38"/>
        <v>2000</v>
      </c>
      <c r="L112" s="155">
        <f t="shared" si="32"/>
        <v>500</v>
      </c>
      <c r="M112" s="291">
        <v>15.31</v>
      </c>
      <c r="N112" s="155">
        <f t="shared" si="33"/>
        <v>500</v>
      </c>
      <c r="O112" s="291">
        <v>0</v>
      </c>
      <c r="P112" s="155">
        <f t="shared" si="34"/>
        <v>500</v>
      </c>
      <c r="Q112" s="291">
        <v>0</v>
      </c>
      <c r="R112" s="155">
        <f t="shared" si="35"/>
        <v>500</v>
      </c>
      <c r="S112" s="291">
        <f>SUMIF(Hoja1!B:B,'Budget YR2-4 DC+Hm'!D:D,Hoja1!G:G)</f>
        <v>0</v>
      </c>
      <c r="T112" s="87">
        <v>12</v>
      </c>
      <c r="U112" s="84">
        <f t="shared" si="36"/>
        <v>2000</v>
      </c>
      <c r="V112" s="85">
        <v>12</v>
      </c>
      <c r="W112" s="86">
        <f t="shared" si="37"/>
        <v>2000</v>
      </c>
      <c r="X112" s="88">
        <f t="shared" si="30"/>
        <v>6000</v>
      </c>
      <c r="Y112" s="89" t="s">
        <v>674</v>
      </c>
      <c r="Z112" s="65" t="s">
        <v>670</v>
      </c>
      <c r="AA112" s="63" t="s">
        <v>519</v>
      </c>
      <c r="AB112" s="63" t="s">
        <v>519</v>
      </c>
      <c r="AC112" s="63" t="s">
        <v>520</v>
      </c>
      <c r="AD112" s="63" t="s">
        <v>647</v>
      </c>
      <c r="AE112" s="95" t="s">
        <v>522</v>
      </c>
    </row>
    <row r="113" spans="1:31" ht="21.75">
      <c r="A113" s="63" t="s">
        <v>503</v>
      </c>
      <c r="B113" s="95" t="s">
        <v>33</v>
      </c>
      <c r="C113" s="95" t="s">
        <v>854</v>
      </c>
      <c r="D113" s="95" t="s">
        <v>1054</v>
      </c>
      <c r="E113" s="83" t="s">
        <v>675</v>
      </c>
      <c r="F113" s="43">
        <v>1</v>
      </c>
      <c r="G113" s="47">
        <v>166.66666666666666</v>
      </c>
      <c r="H113" s="47" t="s">
        <v>90</v>
      </c>
      <c r="I113" s="99">
        <f t="shared" si="31"/>
        <v>166.66666666666666</v>
      </c>
      <c r="J113" s="85">
        <v>12</v>
      </c>
      <c r="K113" s="86">
        <f t="shared" si="38"/>
        <v>2000</v>
      </c>
      <c r="L113" s="155">
        <f t="shared" si="32"/>
        <v>500</v>
      </c>
      <c r="M113" s="291">
        <v>1109.33</v>
      </c>
      <c r="N113" s="155">
        <f t="shared" si="33"/>
        <v>500</v>
      </c>
      <c r="O113" s="291">
        <v>163.92</v>
      </c>
      <c r="P113" s="155">
        <f t="shared" si="34"/>
        <v>500</v>
      </c>
      <c r="Q113" s="291">
        <v>66.1</v>
      </c>
      <c r="R113" s="155">
        <f t="shared" si="35"/>
        <v>500</v>
      </c>
      <c r="S113" s="291">
        <f>SUMIF(Hoja1!B:B,'Budget YR2-4 DC+Hm'!D:D,Hoja1!G:G)</f>
        <v>0</v>
      </c>
      <c r="T113" s="87">
        <v>12</v>
      </c>
      <c r="U113" s="84">
        <f t="shared" si="36"/>
        <v>2000</v>
      </c>
      <c r="V113" s="85">
        <v>12</v>
      </c>
      <c r="W113" s="86">
        <f t="shared" si="37"/>
        <v>2000</v>
      </c>
      <c r="X113" s="88">
        <f t="shared" si="30"/>
        <v>6000</v>
      </c>
      <c r="Y113" s="89" t="s">
        <v>674</v>
      </c>
      <c r="Z113" s="65" t="s">
        <v>670</v>
      </c>
      <c r="AA113" s="63" t="s">
        <v>519</v>
      </c>
      <c r="AB113" s="63" t="s">
        <v>519</v>
      </c>
      <c r="AC113" s="63" t="s">
        <v>520</v>
      </c>
      <c r="AD113" s="63" t="s">
        <v>647</v>
      </c>
      <c r="AE113" s="95" t="s">
        <v>524</v>
      </c>
    </row>
    <row r="114" spans="1:31" ht="21.75">
      <c r="A114" s="63" t="s">
        <v>503</v>
      </c>
      <c r="B114" s="95" t="s">
        <v>33</v>
      </c>
      <c r="C114" s="95" t="s">
        <v>854</v>
      </c>
      <c r="D114" s="95" t="s">
        <v>1055</v>
      </c>
      <c r="E114" s="83" t="s">
        <v>676</v>
      </c>
      <c r="F114" s="43">
        <v>1</v>
      </c>
      <c r="G114" s="47">
        <v>166.66666666666666</v>
      </c>
      <c r="H114" s="47" t="s">
        <v>90</v>
      </c>
      <c r="I114" s="99">
        <f t="shared" si="31"/>
        <v>166.66666666666666</v>
      </c>
      <c r="J114" s="85">
        <v>12</v>
      </c>
      <c r="K114" s="86">
        <f t="shared" si="38"/>
        <v>2000</v>
      </c>
      <c r="L114" s="155">
        <f t="shared" si="32"/>
        <v>500</v>
      </c>
      <c r="M114" s="291">
        <v>0</v>
      </c>
      <c r="N114" s="155">
        <f t="shared" si="33"/>
        <v>500</v>
      </c>
      <c r="O114" s="291">
        <v>323.28999999999996</v>
      </c>
      <c r="P114" s="155">
        <f t="shared" si="34"/>
        <v>500</v>
      </c>
      <c r="Q114" s="291">
        <v>0</v>
      </c>
      <c r="R114" s="155">
        <f t="shared" si="35"/>
        <v>500</v>
      </c>
      <c r="S114" s="291">
        <f>SUMIF(Hoja1!B:B,'Budget YR2-4 DC+Hm'!D:D,Hoja1!G:G)</f>
        <v>0</v>
      </c>
      <c r="T114" s="87">
        <v>12</v>
      </c>
      <c r="U114" s="84">
        <f t="shared" si="36"/>
        <v>2000</v>
      </c>
      <c r="V114" s="85">
        <v>12</v>
      </c>
      <c r="W114" s="86">
        <f t="shared" si="37"/>
        <v>2000</v>
      </c>
      <c r="X114" s="88">
        <f t="shared" si="30"/>
        <v>6000</v>
      </c>
      <c r="Y114" s="89" t="s">
        <v>674</v>
      </c>
      <c r="Z114" s="65" t="s">
        <v>670</v>
      </c>
      <c r="AA114" s="63" t="s">
        <v>519</v>
      </c>
      <c r="AB114" s="63" t="s">
        <v>519</v>
      </c>
      <c r="AC114" s="63" t="s">
        <v>520</v>
      </c>
      <c r="AD114" s="63" t="s">
        <v>647</v>
      </c>
      <c r="AE114" s="95" t="s">
        <v>526</v>
      </c>
    </row>
    <row r="115" spans="1:31" ht="21.75">
      <c r="A115" s="63" t="s">
        <v>503</v>
      </c>
      <c r="B115" s="95" t="s">
        <v>33</v>
      </c>
      <c r="C115" s="95" t="s">
        <v>854</v>
      </c>
      <c r="D115" s="95" t="s">
        <v>1056</v>
      </c>
      <c r="E115" s="83" t="s">
        <v>677</v>
      </c>
      <c r="F115" s="43">
        <v>1</v>
      </c>
      <c r="G115" s="47">
        <v>400</v>
      </c>
      <c r="H115" s="47" t="s">
        <v>90</v>
      </c>
      <c r="I115" s="99">
        <f t="shared" si="31"/>
        <v>400</v>
      </c>
      <c r="J115" s="85">
        <v>12</v>
      </c>
      <c r="K115" s="86">
        <f t="shared" si="38"/>
        <v>4800</v>
      </c>
      <c r="L115" s="155">
        <f t="shared" si="32"/>
        <v>1200</v>
      </c>
      <c r="M115" s="291">
        <v>0</v>
      </c>
      <c r="N115" s="155">
        <f t="shared" si="33"/>
        <v>1200</v>
      </c>
      <c r="O115" s="291">
        <v>0</v>
      </c>
      <c r="P115" s="155">
        <f t="shared" si="34"/>
        <v>1200</v>
      </c>
      <c r="Q115" s="291">
        <v>0</v>
      </c>
      <c r="R115" s="155">
        <f t="shared" si="35"/>
        <v>1200</v>
      </c>
      <c r="S115" s="291">
        <f>SUMIF(Hoja1!B:B,'Budget YR2-4 DC+Hm'!D:D,Hoja1!G:G)</f>
        <v>0</v>
      </c>
      <c r="T115" s="87">
        <v>12</v>
      </c>
      <c r="U115" s="84">
        <f t="shared" si="36"/>
        <v>4800</v>
      </c>
      <c r="V115" s="85">
        <v>12</v>
      </c>
      <c r="W115" s="86">
        <f t="shared" si="37"/>
        <v>4800</v>
      </c>
      <c r="X115" s="88">
        <f t="shared" si="30"/>
        <v>14400</v>
      </c>
      <c r="Y115" s="89" t="s">
        <v>678</v>
      </c>
      <c r="Z115" s="65" t="s">
        <v>670</v>
      </c>
      <c r="AA115" s="63" t="s">
        <v>519</v>
      </c>
      <c r="AB115" s="63" t="s">
        <v>519</v>
      </c>
      <c r="AC115" s="63" t="s">
        <v>520</v>
      </c>
      <c r="AD115" s="63" t="s">
        <v>647</v>
      </c>
      <c r="AE115" s="95" t="s">
        <v>522</v>
      </c>
    </row>
    <row r="116" spans="1:31" ht="21.75">
      <c r="A116" s="63" t="s">
        <v>503</v>
      </c>
      <c r="B116" s="95" t="s">
        <v>33</v>
      </c>
      <c r="C116" s="95" t="s">
        <v>854</v>
      </c>
      <c r="D116" s="95" t="s">
        <v>1057</v>
      </c>
      <c r="E116" s="83" t="s">
        <v>679</v>
      </c>
      <c r="F116" s="43">
        <v>1</v>
      </c>
      <c r="G116" s="47">
        <v>400</v>
      </c>
      <c r="H116" s="47" t="s">
        <v>90</v>
      </c>
      <c r="I116" s="99">
        <f t="shared" si="31"/>
        <v>400</v>
      </c>
      <c r="J116" s="85">
        <v>12</v>
      </c>
      <c r="K116" s="86">
        <f>J116*I116</f>
        <v>4800</v>
      </c>
      <c r="L116" s="155">
        <f t="shared" si="32"/>
        <v>1200</v>
      </c>
      <c r="M116" s="291">
        <v>0</v>
      </c>
      <c r="N116" s="155">
        <f t="shared" si="33"/>
        <v>1200</v>
      </c>
      <c r="O116" s="291">
        <v>0</v>
      </c>
      <c r="P116" s="155">
        <f t="shared" si="34"/>
        <v>1200</v>
      </c>
      <c r="Q116" s="291">
        <v>0</v>
      </c>
      <c r="R116" s="155">
        <f t="shared" si="35"/>
        <v>1200</v>
      </c>
      <c r="S116" s="291">
        <f>SUMIF(Hoja1!B:B,'Budget YR2-4 DC+Hm'!D:D,Hoja1!G:G)</f>
        <v>0</v>
      </c>
      <c r="T116" s="87">
        <v>12</v>
      </c>
      <c r="U116" s="84">
        <f t="shared" si="36"/>
        <v>4800</v>
      </c>
      <c r="V116" s="85">
        <v>12</v>
      </c>
      <c r="W116" s="86">
        <f t="shared" si="37"/>
        <v>4800</v>
      </c>
      <c r="X116" s="88">
        <f t="shared" si="30"/>
        <v>14400</v>
      </c>
      <c r="Y116" s="89" t="s">
        <v>678</v>
      </c>
      <c r="Z116" s="65" t="s">
        <v>670</v>
      </c>
      <c r="AA116" s="63" t="s">
        <v>519</v>
      </c>
      <c r="AB116" s="63" t="s">
        <v>519</v>
      </c>
      <c r="AC116" s="63" t="s">
        <v>520</v>
      </c>
      <c r="AD116" s="63" t="s">
        <v>647</v>
      </c>
      <c r="AE116" s="95" t="s">
        <v>524</v>
      </c>
    </row>
    <row r="117" spans="1:31" ht="21.75">
      <c r="A117" s="63" t="s">
        <v>503</v>
      </c>
      <c r="B117" s="95" t="s">
        <v>33</v>
      </c>
      <c r="C117" s="95" t="s">
        <v>854</v>
      </c>
      <c r="D117" s="95" t="s">
        <v>1058</v>
      </c>
      <c r="E117" s="83" t="s">
        <v>680</v>
      </c>
      <c r="F117" s="43">
        <v>1</v>
      </c>
      <c r="G117" s="47">
        <v>400</v>
      </c>
      <c r="H117" s="47" t="s">
        <v>90</v>
      </c>
      <c r="I117" s="99">
        <f t="shared" si="31"/>
        <v>400</v>
      </c>
      <c r="J117" s="85">
        <v>12</v>
      </c>
      <c r="K117" s="86">
        <f>J117*I117</f>
        <v>4800</v>
      </c>
      <c r="L117" s="155">
        <f t="shared" si="32"/>
        <v>1200</v>
      </c>
      <c r="M117" s="291">
        <v>0</v>
      </c>
      <c r="N117" s="155">
        <f t="shared" si="33"/>
        <v>1200</v>
      </c>
      <c r="O117" s="291">
        <v>0</v>
      </c>
      <c r="P117" s="155">
        <f t="shared" si="34"/>
        <v>1200</v>
      </c>
      <c r="Q117" s="291">
        <v>0</v>
      </c>
      <c r="R117" s="155">
        <f t="shared" si="35"/>
        <v>1200</v>
      </c>
      <c r="S117" s="291">
        <f>SUMIF(Hoja1!B:B,'Budget YR2-4 DC+Hm'!D:D,Hoja1!G:G)</f>
        <v>0</v>
      </c>
      <c r="T117" s="87">
        <v>12</v>
      </c>
      <c r="U117" s="84">
        <f t="shared" si="36"/>
        <v>4800</v>
      </c>
      <c r="V117" s="85">
        <v>12</v>
      </c>
      <c r="W117" s="86">
        <f t="shared" si="37"/>
        <v>4800</v>
      </c>
      <c r="X117" s="88">
        <f t="shared" si="30"/>
        <v>14400</v>
      </c>
      <c r="Y117" s="89" t="s">
        <v>678</v>
      </c>
      <c r="Z117" s="65" t="s">
        <v>670</v>
      </c>
      <c r="AA117" s="63" t="s">
        <v>519</v>
      </c>
      <c r="AB117" s="63" t="s">
        <v>519</v>
      </c>
      <c r="AC117" s="63" t="s">
        <v>520</v>
      </c>
      <c r="AD117" s="63" t="s">
        <v>647</v>
      </c>
      <c r="AE117" s="95" t="s">
        <v>526</v>
      </c>
    </row>
    <row r="118" spans="1:31" s="255" customFormat="1" ht="17.25" customHeight="1">
      <c r="A118" s="255" t="s">
        <v>850</v>
      </c>
      <c r="B118" s="95" t="s">
        <v>30</v>
      </c>
      <c r="C118" s="95" t="s">
        <v>856</v>
      </c>
      <c r="D118" s="276" t="s">
        <v>991</v>
      </c>
      <c r="E118" s="83" t="s">
        <v>851</v>
      </c>
      <c r="F118" s="43">
        <v>10000</v>
      </c>
      <c r="G118" s="47">
        <v>3</v>
      </c>
      <c r="H118" s="47" t="s">
        <v>97</v>
      </c>
      <c r="I118" s="99">
        <v>3</v>
      </c>
      <c r="J118" s="85">
        <v>10000</v>
      </c>
      <c r="K118" s="86">
        <f t="shared" si="38"/>
        <v>30000</v>
      </c>
      <c r="L118" s="155">
        <v>30000</v>
      </c>
      <c r="M118" s="291">
        <v>0</v>
      </c>
      <c r="N118" s="155"/>
      <c r="O118" s="291">
        <v>0</v>
      </c>
      <c r="P118" s="155"/>
      <c r="Q118" s="291">
        <v>0</v>
      </c>
      <c r="R118" s="155"/>
      <c r="S118" s="291">
        <f>SUMIF(Hoja1!B:B,'Budget YR2-4 DC+Hm'!D:D,Hoja1!G:G)</f>
        <v>0</v>
      </c>
      <c r="T118" s="87"/>
      <c r="U118" s="84"/>
      <c r="V118" s="85"/>
      <c r="W118" s="86"/>
      <c r="X118" s="88"/>
      <c r="Y118" s="89"/>
      <c r="Z118" s="65"/>
      <c r="AE118" s="95"/>
    </row>
    <row r="119" spans="1:31" ht="25.5" customHeight="1">
      <c r="A119" s="63" t="s">
        <v>503</v>
      </c>
      <c r="B119" s="95" t="s">
        <v>30</v>
      </c>
      <c r="C119" s="95" t="s">
        <v>854</v>
      </c>
      <c r="D119" s="276" t="s">
        <v>992</v>
      </c>
      <c r="E119" s="83" t="s">
        <v>681</v>
      </c>
      <c r="F119" s="96">
        <v>0.3333333333333333</v>
      </c>
      <c r="G119" s="47">
        <v>33333</v>
      </c>
      <c r="H119" s="47" t="s">
        <v>97</v>
      </c>
      <c r="I119" s="99">
        <f t="shared" si="31"/>
        <v>11111</v>
      </c>
      <c r="J119" s="85">
        <v>1</v>
      </c>
      <c r="K119" s="86">
        <f t="shared" si="38"/>
        <v>11111</v>
      </c>
      <c r="L119" s="155">
        <v>11111</v>
      </c>
      <c r="M119" s="291">
        <v>0</v>
      </c>
      <c r="N119" s="155"/>
      <c r="O119" s="291">
        <v>0</v>
      </c>
      <c r="P119" s="155"/>
      <c r="Q119" s="291">
        <v>0</v>
      </c>
      <c r="R119" s="155"/>
      <c r="S119" s="291">
        <f>SUMIF(Hoja1!B:B,'Budget YR2-4 DC+Hm'!D:D,Hoja1!G:G)</f>
        <v>0</v>
      </c>
      <c r="T119" s="87">
        <v>1</v>
      </c>
      <c r="U119" s="84">
        <f t="shared" si="36"/>
        <v>11111</v>
      </c>
      <c r="V119" s="85">
        <v>1</v>
      </c>
      <c r="W119" s="86">
        <f t="shared" si="37"/>
        <v>11111</v>
      </c>
      <c r="X119" s="88">
        <f t="shared" si="30"/>
        <v>33333</v>
      </c>
      <c r="Y119" s="89" t="s">
        <v>682</v>
      </c>
      <c r="Z119" s="65">
        <v>3</v>
      </c>
      <c r="AA119" s="63" t="s">
        <v>683</v>
      </c>
      <c r="AB119" s="63" t="s">
        <v>519</v>
      </c>
      <c r="AC119" s="63" t="s">
        <v>546</v>
      </c>
      <c r="AD119" s="63" t="s">
        <v>647</v>
      </c>
      <c r="AE119" s="95" t="s">
        <v>522</v>
      </c>
    </row>
    <row r="120" spans="1:31" ht="25.5" customHeight="1">
      <c r="A120" s="63" t="s">
        <v>503</v>
      </c>
      <c r="B120" s="95" t="s">
        <v>30</v>
      </c>
      <c r="C120" s="95" t="s">
        <v>854</v>
      </c>
      <c r="D120" s="276" t="s">
        <v>992</v>
      </c>
      <c r="E120" s="83" t="s">
        <v>684</v>
      </c>
      <c r="F120" s="96">
        <v>0.3333333333333333</v>
      </c>
      <c r="G120" s="47">
        <v>33333</v>
      </c>
      <c r="H120" s="47" t="s">
        <v>97</v>
      </c>
      <c r="I120" s="99">
        <f t="shared" si="31"/>
        <v>11111</v>
      </c>
      <c r="J120" s="85">
        <v>1</v>
      </c>
      <c r="K120" s="86">
        <f t="shared" si="38"/>
        <v>11111</v>
      </c>
      <c r="L120" s="155">
        <v>11111</v>
      </c>
      <c r="M120" s="291">
        <v>0</v>
      </c>
      <c r="N120" s="155"/>
      <c r="O120" s="291">
        <v>0</v>
      </c>
      <c r="P120" s="155"/>
      <c r="Q120" s="291">
        <v>0</v>
      </c>
      <c r="R120" s="155"/>
      <c r="S120" s="291">
        <f>SUMIF(Hoja1!B:B,'Budget YR2-4 DC+Hm'!D:D,Hoja1!G:G)</f>
        <v>0</v>
      </c>
      <c r="T120" s="87">
        <v>1</v>
      </c>
      <c r="U120" s="84">
        <f t="shared" si="36"/>
        <v>11111</v>
      </c>
      <c r="V120" s="85">
        <v>1</v>
      </c>
      <c r="W120" s="86">
        <f t="shared" si="37"/>
        <v>11111</v>
      </c>
      <c r="X120" s="88">
        <f t="shared" si="30"/>
        <v>33333</v>
      </c>
      <c r="Y120" s="89" t="s">
        <v>682</v>
      </c>
      <c r="Z120" s="65">
        <v>3</v>
      </c>
      <c r="AA120" s="63" t="s">
        <v>683</v>
      </c>
      <c r="AB120" s="63" t="s">
        <v>519</v>
      </c>
      <c r="AC120" s="63" t="s">
        <v>546</v>
      </c>
      <c r="AD120" s="63" t="s">
        <v>647</v>
      </c>
      <c r="AE120" s="95" t="s">
        <v>524</v>
      </c>
    </row>
    <row r="121" spans="1:31" ht="25.5" customHeight="1">
      <c r="A121" s="63" t="s">
        <v>503</v>
      </c>
      <c r="B121" s="95" t="s">
        <v>30</v>
      </c>
      <c r="C121" s="95" t="s">
        <v>854</v>
      </c>
      <c r="D121" s="276" t="s">
        <v>992</v>
      </c>
      <c r="E121" s="83" t="s">
        <v>685</v>
      </c>
      <c r="F121" s="96">
        <v>0.3333333333333333</v>
      </c>
      <c r="G121" s="47">
        <v>33333</v>
      </c>
      <c r="H121" s="47" t="s">
        <v>97</v>
      </c>
      <c r="I121" s="99">
        <f t="shared" si="31"/>
        <v>11111</v>
      </c>
      <c r="J121" s="85">
        <v>1</v>
      </c>
      <c r="K121" s="86">
        <f t="shared" si="38"/>
        <v>11111</v>
      </c>
      <c r="L121" s="155">
        <v>11111</v>
      </c>
      <c r="M121" s="291">
        <v>0</v>
      </c>
      <c r="N121" s="155"/>
      <c r="O121" s="291">
        <v>0</v>
      </c>
      <c r="P121" s="155"/>
      <c r="Q121" s="291">
        <v>0</v>
      </c>
      <c r="R121" s="155"/>
      <c r="S121" s="291">
        <f>SUMIF(Hoja1!B:B,'Budget YR2-4 DC+Hm'!D:D,Hoja1!G:G)</f>
        <v>0</v>
      </c>
      <c r="T121" s="87">
        <v>1</v>
      </c>
      <c r="U121" s="84">
        <f t="shared" si="36"/>
        <v>11111</v>
      </c>
      <c r="V121" s="85">
        <v>1</v>
      </c>
      <c r="W121" s="86">
        <f t="shared" si="37"/>
        <v>11111</v>
      </c>
      <c r="X121" s="88">
        <f t="shared" si="30"/>
        <v>33333</v>
      </c>
      <c r="Y121" s="89" t="s">
        <v>682</v>
      </c>
      <c r="Z121" s="65">
        <v>3</v>
      </c>
      <c r="AA121" s="63" t="s">
        <v>683</v>
      </c>
      <c r="AB121" s="63" t="s">
        <v>519</v>
      </c>
      <c r="AC121" s="63" t="s">
        <v>546</v>
      </c>
      <c r="AD121" s="63" t="s">
        <v>647</v>
      </c>
      <c r="AE121" s="95" t="s">
        <v>526</v>
      </c>
    </row>
    <row r="122" spans="1:31" ht="25.5" customHeight="1">
      <c r="A122" s="277" t="s">
        <v>503</v>
      </c>
      <c r="B122" s="95" t="s">
        <v>33</v>
      </c>
      <c r="C122" s="95" t="s">
        <v>854</v>
      </c>
      <c r="D122" s="95" t="s">
        <v>1045</v>
      </c>
      <c r="E122" s="83" t="s">
        <v>686</v>
      </c>
      <c r="F122" s="96">
        <v>330</v>
      </c>
      <c r="G122" s="47">
        <v>200</v>
      </c>
      <c r="H122" s="47" t="s">
        <v>97</v>
      </c>
      <c r="I122" s="99">
        <f t="shared" si="31"/>
        <v>66000</v>
      </c>
      <c r="J122" s="85">
        <v>1</v>
      </c>
      <c r="K122" s="86">
        <f t="shared" si="38"/>
        <v>66000</v>
      </c>
      <c r="L122" s="155"/>
      <c r="M122" s="291">
        <v>0</v>
      </c>
      <c r="N122" s="155">
        <v>11000</v>
      </c>
      <c r="O122" s="291">
        <v>0</v>
      </c>
      <c r="P122" s="155">
        <v>55000</v>
      </c>
      <c r="Q122" s="291">
        <v>8433.14</v>
      </c>
      <c r="R122" s="155"/>
      <c r="S122" s="291">
        <f>Hoja1!G14+Hoja1!G119+Hoja1!G166</f>
        <v>0</v>
      </c>
      <c r="T122" s="87">
        <v>1</v>
      </c>
      <c r="U122" s="84">
        <f t="shared" si="36"/>
        <v>66000</v>
      </c>
      <c r="V122" s="85">
        <v>1</v>
      </c>
      <c r="W122" s="86">
        <f t="shared" si="37"/>
        <v>66000</v>
      </c>
      <c r="X122" s="88">
        <f t="shared" si="30"/>
        <v>198000</v>
      </c>
      <c r="Y122" s="89"/>
      <c r="Z122" s="65">
        <v>3</v>
      </c>
      <c r="AA122" s="63" t="s">
        <v>683</v>
      </c>
      <c r="AB122" s="63" t="s">
        <v>519</v>
      </c>
      <c r="AC122" s="63" t="s">
        <v>546</v>
      </c>
      <c r="AD122" s="63" t="s">
        <v>595</v>
      </c>
      <c r="AE122" s="95" t="s">
        <v>522</v>
      </c>
    </row>
    <row r="123" spans="1:31" ht="25.5" customHeight="1">
      <c r="A123" s="277" t="s">
        <v>503</v>
      </c>
      <c r="B123" s="95" t="s">
        <v>57</v>
      </c>
      <c r="C123" s="95" t="s">
        <v>855</v>
      </c>
      <c r="D123" s="276" t="s">
        <v>1013</v>
      </c>
      <c r="E123" s="83" t="s">
        <v>687</v>
      </c>
      <c r="F123" s="96">
        <v>1</v>
      </c>
      <c r="G123" s="47">
        <v>30000</v>
      </c>
      <c r="H123" s="47" t="s">
        <v>97</v>
      </c>
      <c r="I123" s="99">
        <f t="shared" si="31"/>
        <v>30000</v>
      </c>
      <c r="J123" s="85">
        <v>1</v>
      </c>
      <c r="K123" s="86">
        <f t="shared" si="38"/>
        <v>30000</v>
      </c>
      <c r="L123" s="155"/>
      <c r="M123" s="291">
        <v>0</v>
      </c>
      <c r="N123" s="155">
        <v>20000</v>
      </c>
      <c r="O123" s="291">
        <v>0</v>
      </c>
      <c r="P123" s="155">
        <v>10000</v>
      </c>
      <c r="Q123" s="291">
        <v>0</v>
      </c>
      <c r="R123" s="155"/>
      <c r="S123" s="291">
        <f>Hoja1!G6+Hoja1!G112+Hoja1!G159</f>
        <v>45.79</v>
      </c>
      <c r="T123" s="87">
        <v>1</v>
      </c>
      <c r="U123" s="84">
        <f t="shared" si="36"/>
        <v>30000</v>
      </c>
      <c r="V123" s="85">
        <v>1</v>
      </c>
      <c r="W123" s="86">
        <f t="shared" si="37"/>
        <v>30000</v>
      </c>
      <c r="X123" s="88">
        <f t="shared" si="30"/>
        <v>90000</v>
      </c>
      <c r="Y123" s="89"/>
      <c r="Z123" s="65">
        <v>3</v>
      </c>
      <c r="AA123" s="63" t="s">
        <v>683</v>
      </c>
      <c r="AB123" s="63" t="s">
        <v>519</v>
      </c>
      <c r="AC123" s="63" t="s">
        <v>546</v>
      </c>
      <c r="AD123" s="63" t="s">
        <v>647</v>
      </c>
      <c r="AE123" s="95" t="s">
        <v>550</v>
      </c>
    </row>
    <row r="124" spans="1:31" ht="25.5" customHeight="1">
      <c r="A124" s="63" t="s">
        <v>503</v>
      </c>
      <c r="B124" s="95" t="s">
        <v>33</v>
      </c>
      <c r="C124" s="95" t="s">
        <v>854</v>
      </c>
      <c r="D124" s="95" t="s">
        <v>1046</v>
      </c>
      <c r="E124" s="83" t="s">
        <v>688</v>
      </c>
      <c r="F124" s="96">
        <v>0.3333333333333333</v>
      </c>
      <c r="G124" s="47">
        <v>5000</v>
      </c>
      <c r="H124" s="47" t="s">
        <v>97</v>
      </c>
      <c r="I124" s="99">
        <f t="shared" si="31"/>
        <v>1666.6666666666665</v>
      </c>
      <c r="J124" s="85">
        <v>1</v>
      </c>
      <c r="K124" s="86">
        <f t="shared" si="38"/>
        <v>1666.6666666666665</v>
      </c>
      <c r="L124" s="155">
        <v>1667</v>
      </c>
      <c r="M124" s="291">
        <v>0</v>
      </c>
      <c r="N124" s="155"/>
      <c r="O124" s="291">
        <v>0</v>
      </c>
      <c r="P124" s="155"/>
      <c r="Q124" s="291">
        <v>0</v>
      </c>
      <c r="R124" s="155"/>
      <c r="S124" s="291">
        <f>SUMIF(Hoja1!B:B,'Budget YR2-4 DC+Hm'!D:D,Hoja1!G:G)</f>
        <v>0</v>
      </c>
      <c r="T124" s="87">
        <v>1</v>
      </c>
      <c r="U124" s="84">
        <f t="shared" si="36"/>
        <v>1666.6666666666665</v>
      </c>
      <c r="V124" s="85">
        <v>1</v>
      </c>
      <c r="W124" s="86">
        <f t="shared" si="37"/>
        <v>1666.6666666666665</v>
      </c>
      <c r="X124" s="88">
        <f t="shared" si="30"/>
        <v>5000</v>
      </c>
      <c r="Y124" s="89"/>
      <c r="Z124" s="65">
        <v>3</v>
      </c>
      <c r="AA124" s="63" t="s">
        <v>683</v>
      </c>
      <c r="AB124" s="63" t="s">
        <v>519</v>
      </c>
      <c r="AC124" s="63" t="s">
        <v>546</v>
      </c>
      <c r="AD124" s="63" t="s">
        <v>647</v>
      </c>
      <c r="AE124" s="95" t="s">
        <v>522</v>
      </c>
    </row>
    <row r="125" spans="1:31" ht="25.5" customHeight="1">
      <c r="A125" s="63" t="s">
        <v>503</v>
      </c>
      <c r="B125" s="95" t="s">
        <v>33</v>
      </c>
      <c r="C125" s="95" t="s">
        <v>854</v>
      </c>
      <c r="D125" s="95" t="s">
        <v>1047</v>
      </c>
      <c r="E125" s="83" t="s">
        <v>689</v>
      </c>
      <c r="F125" s="96">
        <v>0.3333333333333333</v>
      </c>
      <c r="G125" s="47">
        <v>5000</v>
      </c>
      <c r="H125" s="47" t="s">
        <v>97</v>
      </c>
      <c r="I125" s="99">
        <f t="shared" si="31"/>
        <v>1666.6666666666665</v>
      </c>
      <c r="J125" s="85">
        <v>1</v>
      </c>
      <c r="K125" s="86">
        <f t="shared" si="38"/>
        <v>1666.6666666666665</v>
      </c>
      <c r="L125" s="155">
        <v>1667</v>
      </c>
      <c r="M125" s="291">
        <v>0</v>
      </c>
      <c r="N125" s="155"/>
      <c r="O125" s="291">
        <v>0</v>
      </c>
      <c r="P125" s="155"/>
      <c r="Q125" s="291">
        <v>0</v>
      </c>
      <c r="R125" s="155"/>
      <c r="S125" s="291">
        <f>SUMIF(Hoja1!B:B,'Budget YR2-4 DC+Hm'!D:D,Hoja1!G:G)</f>
        <v>0</v>
      </c>
      <c r="T125" s="87">
        <v>1</v>
      </c>
      <c r="U125" s="84">
        <f t="shared" si="36"/>
        <v>1666.6666666666665</v>
      </c>
      <c r="V125" s="85">
        <v>1</v>
      </c>
      <c r="W125" s="86">
        <f t="shared" si="37"/>
        <v>1666.6666666666665</v>
      </c>
      <c r="X125" s="88">
        <f t="shared" si="30"/>
        <v>5000</v>
      </c>
      <c r="Y125" s="89"/>
      <c r="Z125" s="65">
        <v>3</v>
      </c>
      <c r="AA125" s="63" t="s">
        <v>683</v>
      </c>
      <c r="AB125" s="63" t="s">
        <v>519</v>
      </c>
      <c r="AC125" s="63" t="s">
        <v>546</v>
      </c>
      <c r="AD125" s="63" t="s">
        <v>647</v>
      </c>
      <c r="AE125" s="95" t="s">
        <v>524</v>
      </c>
    </row>
    <row r="126" spans="1:31" ht="25.5" customHeight="1">
      <c r="A126" s="63" t="s">
        <v>503</v>
      </c>
      <c r="B126" s="95" t="s">
        <v>33</v>
      </c>
      <c r="C126" s="95" t="s">
        <v>854</v>
      </c>
      <c r="D126" s="95" t="s">
        <v>1048</v>
      </c>
      <c r="E126" s="83" t="s">
        <v>690</v>
      </c>
      <c r="F126" s="96">
        <v>0.3333333333333333</v>
      </c>
      <c r="G126" s="47">
        <v>5000</v>
      </c>
      <c r="H126" s="47" t="s">
        <v>97</v>
      </c>
      <c r="I126" s="99">
        <f t="shared" si="31"/>
        <v>1666.6666666666665</v>
      </c>
      <c r="J126" s="85">
        <v>1</v>
      </c>
      <c r="K126" s="86">
        <f t="shared" si="38"/>
        <v>1666.6666666666665</v>
      </c>
      <c r="L126" s="155">
        <v>1667</v>
      </c>
      <c r="M126" s="291">
        <v>0</v>
      </c>
      <c r="N126" s="155"/>
      <c r="O126" s="291">
        <v>0</v>
      </c>
      <c r="P126" s="155"/>
      <c r="Q126" s="291">
        <v>0</v>
      </c>
      <c r="R126" s="155"/>
      <c r="S126" s="291">
        <f>SUMIF(Hoja1!B:B,'Budget YR2-4 DC+Hm'!D:D,Hoja1!G:G)</f>
        <v>0</v>
      </c>
      <c r="T126" s="87">
        <v>1</v>
      </c>
      <c r="U126" s="84">
        <f t="shared" si="36"/>
        <v>1666.6666666666665</v>
      </c>
      <c r="V126" s="85">
        <v>1</v>
      </c>
      <c r="W126" s="86">
        <f t="shared" si="37"/>
        <v>1666.6666666666665</v>
      </c>
      <c r="X126" s="88">
        <f t="shared" si="30"/>
        <v>5000</v>
      </c>
      <c r="Y126" s="89"/>
      <c r="Z126" s="65">
        <v>3</v>
      </c>
      <c r="AA126" s="63" t="s">
        <v>683</v>
      </c>
      <c r="AB126" s="63" t="s">
        <v>519</v>
      </c>
      <c r="AC126" s="63" t="s">
        <v>546</v>
      </c>
      <c r="AD126" s="63" t="s">
        <v>647</v>
      </c>
      <c r="AE126" s="95" t="s">
        <v>526</v>
      </c>
    </row>
    <row r="127" spans="1:31" s="95" customFormat="1" ht="21.75" customHeight="1">
      <c r="A127" s="63" t="s">
        <v>503</v>
      </c>
      <c r="B127" s="95" t="s">
        <v>33</v>
      </c>
      <c r="C127" s="95" t="s">
        <v>59</v>
      </c>
      <c r="D127" s="95" t="s">
        <v>1049</v>
      </c>
      <c r="E127" s="83" t="s">
        <v>691</v>
      </c>
      <c r="F127" s="48">
        <v>0</v>
      </c>
      <c r="G127" s="96">
        <v>0.3333333333333333</v>
      </c>
      <c r="H127" s="49" t="s">
        <v>90</v>
      </c>
      <c r="I127" s="99">
        <v>3200</v>
      </c>
      <c r="J127" s="116">
        <v>0</v>
      </c>
      <c r="K127" s="86">
        <f t="shared" si="38"/>
        <v>0</v>
      </c>
      <c r="L127" s="155"/>
      <c r="M127" s="291">
        <v>0</v>
      </c>
      <c r="N127" s="155"/>
      <c r="O127" s="291">
        <v>309.22</v>
      </c>
      <c r="P127" s="155"/>
      <c r="Q127" s="291">
        <v>0</v>
      </c>
      <c r="R127" s="155"/>
      <c r="S127" s="291">
        <f>SUMIF(Hoja1!B:B,'Budget YR2-4 DC+Hm'!D:D,Hoja1!G:G)</f>
        <v>0</v>
      </c>
      <c r="T127" s="117">
        <v>0</v>
      </c>
      <c r="U127" s="84">
        <f t="shared" si="36"/>
        <v>0</v>
      </c>
      <c r="V127" s="116">
        <v>0</v>
      </c>
      <c r="W127" s="86">
        <f t="shared" si="37"/>
        <v>0</v>
      </c>
      <c r="X127" s="88">
        <f t="shared" si="30"/>
        <v>0</v>
      </c>
      <c r="Y127" s="99"/>
      <c r="Z127" s="65">
        <v>3</v>
      </c>
      <c r="AA127" s="63" t="s">
        <v>545</v>
      </c>
      <c r="AB127" s="63" t="s">
        <v>519</v>
      </c>
      <c r="AC127" s="63" t="s">
        <v>546</v>
      </c>
      <c r="AD127" s="95" t="s">
        <v>592</v>
      </c>
      <c r="AE127" s="95" t="s">
        <v>524</v>
      </c>
    </row>
    <row r="128" spans="1:26" ht="28.5" customHeight="1">
      <c r="A128" s="63" t="s">
        <v>503</v>
      </c>
      <c r="B128" s="95"/>
      <c r="C128" s="95"/>
      <c r="D128" s="95"/>
      <c r="E128" s="302" t="s">
        <v>692</v>
      </c>
      <c r="F128" s="111"/>
      <c r="G128" s="111"/>
      <c r="H128" s="111"/>
      <c r="I128" s="111"/>
      <c r="J128" s="113"/>
      <c r="K128" s="114"/>
      <c r="L128" s="70"/>
      <c r="M128" s="292"/>
      <c r="N128" s="70"/>
      <c r="O128" s="292"/>
      <c r="P128" s="70"/>
      <c r="Q128" s="291"/>
      <c r="R128" s="70"/>
      <c r="S128" s="292"/>
      <c r="T128" s="111"/>
      <c r="U128" s="112"/>
      <c r="V128" s="113"/>
      <c r="W128" s="114"/>
      <c r="X128" s="88">
        <f t="shared" si="30"/>
        <v>0</v>
      </c>
      <c r="Y128" s="82"/>
      <c r="Z128" s="82"/>
    </row>
    <row r="129" spans="1:31" ht="21.75">
      <c r="A129" s="277" t="s">
        <v>503</v>
      </c>
      <c r="B129" s="95" t="s">
        <v>34</v>
      </c>
      <c r="C129" s="95" t="s">
        <v>59</v>
      </c>
      <c r="D129" s="276" t="s">
        <v>1025</v>
      </c>
      <c r="E129" s="83" t="s">
        <v>693</v>
      </c>
      <c r="F129" s="43">
        <v>3</v>
      </c>
      <c r="G129" s="47">
        <v>1000</v>
      </c>
      <c r="H129" s="47" t="s">
        <v>90</v>
      </c>
      <c r="I129" s="99">
        <f aca="true" t="shared" si="39" ref="I129:I138">F129*G129</f>
        <v>3000</v>
      </c>
      <c r="J129" s="85">
        <v>12</v>
      </c>
      <c r="K129" s="86">
        <f>J129*I129+'Budget YR1 DC'!O54</f>
        <v>36900</v>
      </c>
      <c r="L129" s="155">
        <f>K129/4</f>
        <v>9225</v>
      </c>
      <c r="M129" s="291">
        <v>0</v>
      </c>
      <c r="N129" s="155">
        <f>K129/4</f>
        <v>9225</v>
      </c>
      <c r="O129" s="291">
        <v>0</v>
      </c>
      <c r="P129" s="155">
        <f>K129/4</f>
        <v>9225</v>
      </c>
      <c r="Q129" s="291">
        <v>55156.66</v>
      </c>
      <c r="R129" s="155">
        <f>K129/4</f>
        <v>9225</v>
      </c>
      <c r="S129" s="291">
        <f>Hoja1!G60+Hoja1!G130+Hoja1!G177</f>
        <v>22170.43</v>
      </c>
      <c r="T129" s="87">
        <v>12</v>
      </c>
      <c r="U129" s="84">
        <f aca="true" t="shared" si="40" ref="U129:U138">T129*I129</f>
        <v>36000</v>
      </c>
      <c r="V129" s="85">
        <v>12</v>
      </c>
      <c r="W129" s="86">
        <f aca="true" t="shared" si="41" ref="W129:W138">V129*I129</f>
        <v>36000</v>
      </c>
      <c r="X129" s="88">
        <f t="shared" si="30"/>
        <v>108900</v>
      </c>
      <c r="Y129" s="89"/>
      <c r="Z129" s="65" t="s">
        <v>519</v>
      </c>
      <c r="AA129" s="63" t="s">
        <v>519</v>
      </c>
      <c r="AB129" s="63" t="s">
        <v>519</v>
      </c>
      <c r="AC129" s="63" t="s">
        <v>520</v>
      </c>
      <c r="AD129" s="63" t="s">
        <v>694</v>
      </c>
      <c r="AE129" s="63" t="s">
        <v>520</v>
      </c>
    </row>
    <row r="130" spans="1:31" ht="21.75">
      <c r="A130" s="63" t="s">
        <v>503</v>
      </c>
      <c r="B130" s="95" t="s">
        <v>34</v>
      </c>
      <c r="C130" s="95" t="s">
        <v>59</v>
      </c>
      <c r="D130" s="276" t="s">
        <v>1024</v>
      </c>
      <c r="E130" s="83" t="s">
        <v>695</v>
      </c>
      <c r="F130" s="43">
        <v>1</v>
      </c>
      <c r="G130" s="47">
        <v>1500</v>
      </c>
      <c r="H130" s="47" t="s">
        <v>90</v>
      </c>
      <c r="I130" s="99">
        <f t="shared" si="39"/>
        <v>1500</v>
      </c>
      <c r="J130" s="85">
        <v>12</v>
      </c>
      <c r="K130" s="86">
        <f aca="true" t="shared" si="42" ref="K130:K138">J130*I130</f>
        <v>18000</v>
      </c>
      <c r="L130" s="155">
        <f>K130/4</f>
        <v>4500</v>
      </c>
      <c r="M130" s="291">
        <v>0</v>
      </c>
      <c r="N130" s="155">
        <f>K130/4</f>
        <v>4500</v>
      </c>
      <c r="O130" s="291">
        <v>3940.39</v>
      </c>
      <c r="P130" s="155">
        <f>K130/4</f>
        <v>4500</v>
      </c>
      <c r="Q130" s="291">
        <v>0</v>
      </c>
      <c r="R130" s="155">
        <f>K130/4</f>
        <v>4500</v>
      </c>
      <c r="S130" s="291">
        <f>SUMIF(Hoja1!B:B,'Budget YR2-4 DC+Hm'!D:D,Hoja1!G:G)</f>
        <v>2969.43</v>
      </c>
      <c r="T130" s="87">
        <v>12</v>
      </c>
      <c r="U130" s="84">
        <f t="shared" si="40"/>
        <v>18000</v>
      </c>
      <c r="V130" s="85">
        <v>12</v>
      </c>
      <c r="W130" s="86">
        <f t="shared" si="41"/>
        <v>18000</v>
      </c>
      <c r="X130" s="88">
        <f t="shared" si="30"/>
        <v>54000</v>
      </c>
      <c r="Y130" s="89"/>
      <c r="Z130" s="65" t="s">
        <v>519</v>
      </c>
      <c r="AA130" s="63" t="s">
        <v>519</v>
      </c>
      <c r="AB130" s="63" t="s">
        <v>519</v>
      </c>
      <c r="AC130" s="63" t="s">
        <v>520</v>
      </c>
      <c r="AD130" s="63" t="s">
        <v>694</v>
      </c>
      <c r="AE130" s="63" t="s">
        <v>520</v>
      </c>
    </row>
    <row r="131" spans="1:31" ht="21.75">
      <c r="A131" s="277" t="s">
        <v>503</v>
      </c>
      <c r="B131" s="95" t="s">
        <v>34</v>
      </c>
      <c r="C131" s="95" t="s">
        <v>59</v>
      </c>
      <c r="D131" s="95" t="s">
        <v>1026</v>
      </c>
      <c r="E131" s="83" t="s">
        <v>696</v>
      </c>
      <c r="F131" s="43">
        <v>4</v>
      </c>
      <c r="G131" s="47">
        <v>250</v>
      </c>
      <c r="H131" s="47" t="s">
        <v>90</v>
      </c>
      <c r="I131" s="99">
        <f t="shared" si="39"/>
        <v>1000</v>
      </c>
      <c r="J131" s="85">
        <v>12</v>
      </c>
      <c r="K131" s="86">
        <f>J131*I131+'Budget YR1 DC'!O55+'Budget YR1 DC'!O61+'Budget YR1 DC'!O67</f>
        <v>14195.75</v>
      </c>
      <c r="L131" s="155">
        <f>K131/4</f>
        <v>3548.9375</v>
      </c>
      <c r="M131" s="291">
        <v>3384.4199999999996</v>
      </c>
      <c r="N131" s="155">
        <f>K131/4</f>
        <v>3548.9375</v>
      </c>
      <c r="O131" s="291">
        <v>7867.089999999999</v>
      </c>
      <c r="P131" s="155">
        <f>K131/4</f>
        <v>3548.9375</v>
      </c>
      <c r="Q131" s="291">
        <v>9009.500000000002</v>
      </c>
      <c r="R131" s="155">
        <f>K131/4</f>
        <v>3548.9375</v>
      </c>
      <c r="S131" s="291">
        <f>Hoja1!G61+Hoja1!G131+Hoja1!G178</f>
        <v>980.1099999999999</v>
      </c>
      <c r="T131" s="87">
        <v>12</v>
      </c>
      <c r="U131" s="84">
        <f t="shared" si="40"/>
        <v>12000</v>
      </c>
      <c r="V131" s="85">
        <v>12</v>
      </c>
      <c r="W131" s="86">
        <f t="shared" si="41"/>
        <v>12000</v>
      </c>
      <c r="X131" s="88">
        <f t="shared" si="30"/>
        <v>38195.75</v>
      </c>
      <c r="Y131" s="89" t="s">
        <v>697</v>
      </c>
      <c r="Z131" s="65" t="s">
        <v>519</v>
      </c>
      <c r="AA131" s="63" t="s">
        <v>519</v>
      </c>
      <c r="AB131" s="63" t="s">
        <v>519</v>
      </c>
      <c r="AC131" s="63" t="s">
        <v>520</v>
      </c>
      <c r="AD131" s="63" t="s">
        <v>694</v>
      </c>
      <c r="AE131" s="63" t="s">
        <v>520</v>
      </c>
    </row>
    <row r="132" spans="1:31" ht="21.75">
      <c r="A132" s="63" t="s">
        <v>503</v>
      </c>
      <c r="B132" s="95" t="s">
        <v>31</v>
      </c>
      <c r="C132" s="95" t="s">
        <v>59</v>
      </c>
      <c r="D132" s="276" t="s">
        <v>1008</v>
      </c>
      <c r="E132" s="83" t="s">
        <v>698</v>
      </c>
      <c r="F132" s="43">
        <v>4</v>
      </c>
      <c r="G132" s="47">
        <v>2000</v>
      </c>
      <c r="H132" s="47" t="s">
        <v>97</v>
      </c>
      <c r="I132" s="99">
        <f t="shared" si="39"/>
        <v>8000</v>
      </c>
      <c r="J132" s="85">
        <v>1</v>
      </c>
      <c r="K132" s="86">
        <f>J132*I132+'Budget YR1 DC'!O62+'Budget YR1 DC'!O68</f>
        <v>10149.71</v>
      </c>
      <c r="L132" s="155">
        <v>6150</v>
      </c>
      <c r="M132" s="291">
        <v>0</v>
      </c>
      <c r="N132" s="155">
        <v>4000</v>
      </c>
      <c r="O132" s="291">
        <v>4983.789999999999</v>
      </c>
      <c r="P132" s="155"/>
      <c r="Q132" s="291">
        <v>46.77</v>
      </c>
      <c r="R132" s="155"/>
      <c r="S132" s="291">
        <f>SUMIF(Hoja1!B:B,'Budget YR2-4 DC+Hm'!D:D,Hoja1!G:G)</f>
        <v>2901.3599999999997</v>
      </c>
      <c r="T132" s="87">
        <v>1</v>
      </c>
      <c r="U132" s="84">
        <f t="shared" si="40"/>
        <v>8000</v>
      </c>
      <c r="V132" s="85">
        <v>1</v>
      </c>
      <c r="W132" s="86">
        <f t="shared" si="41"/>
        <v>8000</v>
      </c>
      <c r="X132" s="88">
        <f t="shared" si="30"/>
        <v>26149.71</v>
      </c>
      <c r="Y132" s="89" t="s">
        <v>699</v>
      </c>
      <c r="Z132" s="65" t="s">
        <v>519</v>
      </c>
      <c r="AA132" s="63" t="s">
        <v>519</v>
      </c>
      <c r="AB132" s="63" t="s">
        <v>519</v>
      </c>
      <c r="AC132" s="63" t="s">
        <v>520</v>
      </c>
      <c r="AD132" s="63" t="s">
        <v>694</v>
      </c>
      <c r="AE132" s="63" t="s">
        <v>520</v>
      </c>
    </row>
    <row r="133" spans="1:31" ht="21.75">
      <c r="A133" s="277" t="s">
        <v>503</v>
      </c>
      <c r="B133" s="95" t="s">
        <v>34</v>
      </c>
      <c r="C133" s="95" t="s">
        <v>59</v>
      </c>
      <c r="D133" s="95" t="s">
        <v>1027</v>
      </c>
      <c r="E133" s="83" t="s">
        <v>700</v>
      </c>
      <c r="F133" s="43">
        <v>4</v>
      </c>
      <c r="G133" s="47">
        <v>350</v>
      </c>
      <c r="H133" s="47" t="s">
        <v>90</v>
      </c>
      <c r="I133" s="99">
        <f t="shared" si="39"/>
        <v>1400</v>
      </c>
      <c r="J133" s="85">
        <v>12</v>
      </c>
      <c r="K133" s="86">
        <f t="shared" si="42"/>
        <v>16800</v>
      </c>
      <c r="L133" s="155">
        <f>K133/4</f>
        <v>4200</v>
      </c>
      <c r="M133" s="291">
        <v>1654.3699999999997</v>
      </c>
      <c r="N133" s="155">
        <f>K133/4</f>
        <v>4200</v>
      </c>
      <c r="O133" s="291">
        <v>3555.01</v>
      </c>
      <c r="P133" s="155">
        <f>K133/4</f>
        <v>4200</v>
      </c>
      <c r="Q133" s="291">
        <v>4538.5</v>
      </c>
      <c r="R133" s="155">
        <f>K133/4</f>
        <v>4200</v>
      </c>
      <c r="S133" s="291">
        <f>Hoja1!G63+Hoja1!G132+Hoja1!G179</f>
        <v>4214.200000000001</v>
      </c>
      <c r="T133" s="87">
        <v>12</v>
      </c>
      <c r="U133" s="84">
        <f t="shared" si="40"/>
        <v>16800</v>
      </c>
      <c r="V133" s="85">
        <v>12</v>
      </c>
      <c r="W133" s="86">
        <f t="shared" si="41"/>
        <v>16800</v>
      </c>
      <c r="X133" s="88">
        <f t="shared" si="30"/>
        <v>50400</v>
      </c>
      <c r="Y133" s="89" t="s">
        <v>701</v>
      </c>
      <c r="Z133" s="65" t="s">
        <v>519</v>
      </c>
      <c r="AA133" s="63" t="s">
        <v>519</v>
      </c>
      <c r="AB133" s="63" t="s">
        <v>519</v>
      </c>
      <c r="AC133" s="63" t="s">
        <v>520</v>
      </c>
      <c r="AD133" s="63" t="s">
        <v>694</v>
      </c>
      <c r="AE133" s="63" t="s">
        <v>520</v>
      </c>
    </row>
    <row r="134" spans="1:31" ht="21.75">
      <c r="A134" s="63" t="s">
        <v>503</v>
      </c>
      <c r="B134" s="95" t="s">
        <v>31</v>
      </c>
      <c r="C134" s="95" t="s">
        <v>59</v>
      </c>
      <c r="D134" s="276" t="s">
        <v>1009</v>
      </c>
      <c r="E134" s="83" t="s">
        <v>702</v>
      </c>
      <c r="F134" s="43">
        <v>11</v>
      </c>
      <c r="G134" s="47">
        <v>600</v>
      </c>
      <c r="H134" s="47" t="s">
        <v>97</v>
      </c>
      <c r="I134" s="99">
        <f t="shared" si="39"/>
        <v>6600</v>
      </c>
      <c r="J134" s="85">
        <v>1</v>
      </c>
      <c r="K134" s="86">
        <f t="shared" si="42"/>
        <v>6600</v>
      </c>
      <c r="L134" s="155">
        <f>K134/4</f>
        <v>1650</v>
      </c>
      <c r="M134" s="291">
        <v>56.22</v>
      </c>
      <c r="N134" s="155">
        <f>K134/4</f>
        <v>1650</v>
      </c>
      <c r="O134" s="291">
        <v>164.45000000000002</v>
      </c>
      <c r="P134" s="155">
        <f>K134/4</f>
        <v>1650</v>
      </c>
      <c r="Q134" s="291">
        <v>785.4399999999999</v>
      </c>
      <c r="R134" s="155">
        <f>K134/4</f>
        <v>1650</v>
      </c>
      <c r="S134" s="291">
        <f>SUMIF(Hoja1!B:B,'Budget YR2-4 DC+Hm'!D:D,Hoja1!G:G)</f>
        <v>2805.04</v>
      </c>
      <c r="T134" s="87">
        <v>0</v>
      </c>
      <c r="U134" s="84">
        <f t="shared" si="40"/>
        <v>0</v>
      </c>
      <c r="V134" s="85">
        <v>0</v>
      </c>
      <c r="W134" s="86">
        <f t="shared" si="41"/>
        <v>0</v>
      </c>
      <c r="X134" s="88">
        <f t="shared" si="30"/>
        <v>6600</v>
      </c>
      <c r="Y134" s="89" t="s">
        <v>703</v>
      </c>
      <c r="Z134" s="65" t="s">
        <v>519</v>
      </c>
      <c r="AA134" s="63" t="s">
        <v>519</v>
      </c>
      <c r="AB134" s="63" t="s">
        <v>519</v>
      </c>
      <c r="AC134" s="63" t="s">
        <v>520</v>
      </c>
      <c r="AD134" s="63" t="s">
        <v>602</v>
      </c>
      <c r="AE134" s="63" t="s">
        <v>520</v>
      </c>
    </row>
    <row r="135" spans="1:31" ht="22.5" customHeight="1">
      <c r="A135" s="63" t="s">
        <v>503</v>
      </c>
      <c r="B135" s="95" t="s">
        <v>31</v>
      </c>
      <c r="C135" s="95" t="s">
        <v>59</v>
      </c>
      <c r="D135" s="276" t="s">
        <v>1010</v>
      </c>
      <c r="E135" s="83" t="s">
        <v>704</v>
      </c>
      <c r="F135" s="43">
        <v>3</v>
      </c>
      <c r="G135" s="47">
        <v>4000</v>
      </c>
      <c r="H135" s="47" t="s">
        <v>705</v>
      </c>
      <c r="I135" s="99">
        <f t="shared" si="39"/>
        <v>12000</v>
      </c>
      <c r="J135" s="85">
        <v>1</v>
      </c>
      <c r="K135" s="86">
        <f t="shared" si="42"/>
        <v>12000</v>
      </c>
      <c r="L135" s="155">
        <v>12000</v>
      </c>
      <c r="M135" s="291">
        <v>404.65</v>
      </c>
      <c r="N135" s="155"/>
      <c r="O135" s="291">
        <v>62.51</v>
      </c>
      <c r="P135" s="155"/>
      <c r="Q135" s="291">
        <v>55.779999999999994</v>
      </c>
      <c r="R135" s="155"/>
      <c r="S135" s="291">
        <f>SUMIF(Hoja1!B:B,'Budget YR2-4 DC+Hm'!D:D,Hoja1!G:G)</f>
        <v>3057.2799999999997</v>
      </c>
      <c r="T135" s="87">
        <v>0</v>
      </c>
      <c r="U135" s="84">
        <f t="shared" si="40"/>
        <v>0</v>
      </c>
      <c r="V135" s="85">
        <v>0</v>
      </c>
      <c r="W135" s="86">
        <f t="shared" si="41"/>
        <v>0</v>
      </c>
      <c r="X135" s="88">
        <f t="shared" si="30"/>
        <v>12000</v>
      </c>
      <c r="Y135" s="89"/>
      <c r="Z135" s="65" t="s">
        <v>519</v>
      </c>
      <c r="AA135" s="63" t="s">
        <v>519</v>
      </c>
      <c r="AB135" s="63" t="s">
        <v>519</v>
      </c>
      <c r="AC135" s="63" t="s">
        <v>520</v>
      </c>
      <c r="AD135" s="63" t="s">
        <v>602</v>
      </c>
      <c r="AE135" s="63" t="s">
        <v>520</v>
      </c>
    </row>
    <row r="136" spans="1:31" ht="21.75">
      <c r="A136" s="63" t="s">
        <v>503</v>
      </c>
      <c r="B136" s="95" t="s">
        <v>31</v>
      </c>
      <c r="C136" s="95" t="s">
        <v>59</v>
      </c>
      <c r="D136" s="276" t="s">
        <v>1011</v>
      </c>
      <c r="E136" s="83" t="s">
        <v>706</v>
      </c>
      <c r="F136" s="43">
        <v>3</v>
      </c>
      <c r="G136" s="47">
        <v>6500</v>
      </c>
      <c r="H136" s="47" t="s">
        <v>97</v>
      </c>
      <c r="I136" s="99">
        <f t="shared" si="39"/>
        <v>19500</v>
      </c>
      <c r="J136" s="85">
        <v>1</v>
      </c>
      <c r="K136" s="86">
        <f>10000</f>
        <v>10000</v>
      </c>
      <c r="L136" s="155"/>
      <c r="M136" s="291">
        <v>0</v>
      </c>
      <c r="N136" s="155">
        <v>10000</v>
      </c>
      <c r="O136" s="291">
        <v>14429.78</v>
      </c>
      <c r="P136" s="155"/>
      <c r="Q136" s="291">
        <v>0</v>
      </c>
      <c r="R136" s="155"/>
      <c r="S136" s="291">
        <f>SUMIF(Hoja1!B:B,'Budget YR2-4 DC+Hm'!D:D,Hoja1!G:G)</f>
        <v>3300.62</v>
      </c>
      <c r="T136" s="87">
        <v>0</v>
      </c>
      <c r="U136" s="84">
        <f t="shared" si="40"/>
        <v>0</v>
      </c>
      <c r="V136" s="85">
        <v>0</v>
      </c>
      <c r="W136" s="86">
        <f t="shared" si="41"/>
        <v>0</v>
      </c>
      <c r="X136" s="88">
        <f t="shared" si="30"/>
        <v>10000</v>
      </c>
      <c r="Y136" s="89" t="s">
        <v>707</v>
      </c>
      <c r="Z136" s="65" t="s">
        <v>519</v>
      </c>
      <c r="AA136" s="63" t="s">
        <v>519</v>
      </c>
      <c r="AB136" s="63" t="s">
        <v>519</v>
      </c>
      <c r="AC136" s="63" t="s">
        <v>520</v>
      </c>
      <c r="AD136" s="63" t="s">
        <v>602</v>
      </c>
      <c r="AE136" s="63" t="s">
        <v>520</v>
      </c>
    </row>
    <row r="137" spans="1:31" ht="21.75">
      <c r="A137" s="277" t="s">
        <v>503</v>
      </c>
      <c r="B137" s="95" t="s">
        <v>34</v>
      </c>
      <c r="C137" s="95" t="s">
        <v>59</v>
      </c>
      <c r="D137" s="95" t="s">
        <v>1036</v>
      </c>
      <c r="E137" s="83" t="s">
        <v>328</v>
      </c>
      <c r="F137" s="43">
        <v>3</v>
      </c>
      <c r="G137" s="47">
        <v>100</v>
      </c>
      <c r="H137" s="47" t="s">
        <v>90</v>
      </c>
      <c r="I137" s="99">
        <f t="shared" si="39"/>
        <v>300</v>
      </c>
      <c r="J137" s="85">
        <v>12</v>
      </c>
      <c r="K137" s="86">
        <f>J137*I137+'Budget YR1 DC'!O60+'Budget YR1 DC'!O66+'Budget YR1 DC'!O71</f>
        <v>5038.37</v>
      </c>
      <c r="L137" s="155">
        <f>K137/4</f>
        <v>1259.5925</v>
      </c>
      <c r="M137" s="291">
        <v>8.18</v>
      </c>
      <c r="N137" s="155">
        <f>K137/4</f>
        <v>1259.5925</v>
      </c>
      <c r="O137" s="291">
        <v>312.44000000000005</v>
      </c>
      <c r="P137" s="155">
        <f>K137/4</f>
        <v>1259.5925</v>
      </c>
      <c r="Q137" s="291">
        <v>119.00999999999999</v>
      </c>
      <c r="R137" s="155">
        <f>K137/4</f>
        <v>1259.5925</v>
      </c>
      <c r="S137" s="291">
        <f>Hoja1!G67+Hoja1!G133+Hoja1!G180</f>
        <v>66.99</v>
      </c>
      <c r="T137" s="87">
        <v>12</v>
      </c>
      <c r="U137" s="84">
        <f t="shared" si="40"/>
        <v>3600</v>
      </c>
      <c r="V137" s="85">
        <v>12</v>
      </c>
      <c r="W137" s="86">
        <f t="shared" si="41"/>
        <v>3600</v>
      </c>
      <c r="X137" s="88">
        <f aca="true" t="shared" si="43" ref="X137:X168">K137+U137+W137</f>
        <v>12238.369999999999</v>
      </c>
      <c r="Y137" s="89" t="s">
        <v>708</v>
      </c>
      <c r="Z137" s="65" t="s">
        <v>519</v>
      </c>
      <c r="AA137" s="63" t="s">
        <v>519</v>
      </c>
      <c r="AB137" s="63" t="s">
        <v>519</v>
      </c>
      <c r="AC137" s="63" t="s">
        <v>520</v>
      </c>
      <c r="AD137" s="63" t="s">
        <v>694</v>
      </c>
      <c r="AE137" s="63" t="s">
        <v>520</v>
      </c>
    </row>
    <row r="138" spans="1:31" ht="21.75">
      <c r="A138" s="63" t="s">
        <v>503</v>
      </c>
      <c r="B138" s="95" t="s">
        <v>31</v>
      </c>
      <c r="C138" s="95" t="s">
        <v>59</v>
      </c>
      <c r="D138" s="276" t="s">
        <v>1012</v>
      </c>
      <c r="E138" s="83" t="s">
        <v>709</v>
      </c>
      <c r="F138" s="119">
        <v>1</v>
      </c>
      <c r="G138" s="49">
        <v>25000</v>
      </c>
      <c r="H138" s="49" t="s">
        <v>90</v>
      </c>
      <c r="I138" s="99">
        <f t="shared" si="39"/>
        <v>25000</v>
      </c>
      <c r="J138" s="85">
        <v>1</v>
      </c>
      <c r="K138" s="86">
        <f t="shared" si="42"/>
        <v>25000</v>
      </c>
      <c r="L138" s="155">
        <v>25000</v>
      </c>
      <c r="M138" s="291">
        <v>0</v>
      </c>
      <c r="N138" s="155"/>
      <c r="O138" s="291">
        <v>375.2</v>
      </c>
      <c r="P138" s="155"/>
      <c r="Q138" s="291">
        <v>0</v>
      </c>
      <c r="R138" s="155"/>
      <c r="S138" s="291">
        <f>SUMIF(Hoja1!B:B,'Budget YR2-4 DC+Hm'!D:D,Hoja1!G:G)</f>
        <v>35725.955</v>
      </c>
      <c r="T138" s="87">
        <v>0</v>
      </c>
      <c r="U138" s="84">
        <f t="shared" si="40"/>
        <v>0</v>
      </c>
      <c r="V138" s="85">
        <v>0</v>
      </c>
      <c r="W138" s="86">
        <f t="shared" si="41"/>
        <v>0</v>
      </c>
      <c r="X138" s="88">
        <f t="shared" si="43"/>
        <v>25000</v>
      </c>
      <c r="Y138" s="47" t="s">
        <v>710</v>
      </c>
      <c r="Z138" s="65" t="s">
        <v>519</v>
      </c>
      <c r="AA138" s="63" t="s">
        <v>519</v>
      </c>
      <c r="AB138" s="63" t="s">
        <v>519</v>
      </c>
      <c r="AC138" s="63" t="s">
        <v>520</v>
      </c>
      <c r="AD138" s="63" t="s">
        <v>602</v>
      </c>
      <c r="AE138" s="63" t="s">
        <v>520</v>
      </c>
    </row>
    <row r="139" spans="1:26" ht="27" customHeight="1">
      <c r="A139" s="63" t="s">
        <v>503</v>
      </c>
      <c r="B139" s="95"/>
      <c r="C139" s="95"/>
      <c r="D139" s="95"/>
      <c r="E139" s="302" t="s">
        <v>711</v>
      </c>
      <c r="F139" s="111"/>
      <c r="G139" s="111"/>
      <c r="H139" s="111"/>
      <c r="I139" s="111"/>
      <c r="J139" s="113"/>
      <c r="K139" s="114"/>
      <c r="L139" s="70"/>
      <c r="M139" s="292"/>
      <c r="N139" s="70"/>
      <c r="O139" s="292"/>
      <c r="P139" s="70"/>
      <c r="Q139" s="291"/>
      <c r="R139" s="70"/>
      <c r="S139" s="292"/>
      <c r="T139" s="111"/>
      <c r="U139" s="112"/>
      <c r="V139" s="113"/>
      <c r="W139" s="114"/>
      <c r="X139" s="88">
        <f t="shared" si="43"/>
        <v>0</v>
      </c>
      <c r="Y139" s="82"/>
      <c r="Z139" s="82"/>
    </row>
    <row r="140" spans="1:31" ht="10.5">
      <c r="A140" s="63" t="s">
        <v>503</v>
      </c>
      <c r="B140" s="95" t="s">
        <v>32</v>
      </c>
      <c r="C140" s="95" t="s">
        <v>855</v>
      </c>
      <c r="D140" s="276" t="s">
        <v>965</v>
      </c>
      <c r="E140" s="83" t="s">
        <v>712</v>
      </c>
      <c r="F140" s="96">
        <v>0.3333333333333333</v>
      </c>
      <c r="G140" s="47">
        <v>2500</v>
      </c>
      <c r="H140" s="47" t="s">
        <v>90</v>
      </c>
      <c r="I140" s="99">
        <f aca="true" t="shared" si="44" ref="I140:I145">F140*G140</f>
        <v>833.3333333333333</v>
      </c>
      <c r="J140" s="85">
        <v>8</v>
      </c>
      <c r="K140" s="86">
        <f>J140*I140</f>
        <v>6666.666666666666</v>
      </c>
      <c r="L140" s="155">
        <f aca="true" t="shared" si="45" ref="L140:L145">K140/4</f>
        <v>1666.6666666666665</v>
      </c>
      <c r="M140" s="291">
        <v>0</v>
      </c>
      <c r="N140" s="155">
        <f aca="true" t="shared" si="46" ref="N140:N145">K140/4</f>
        <v>1666.6666666666665</v>
      </c>
      <c r="O140" s="291">
        <v>0</v>
      </c>
      <c r="P140" s="155">
        <f aca="true" t="shared" si="47" ref="P140:P145">K140/4</f>
        <v>1666.6666666666665</v>
      </c>
      <c r="Q140" s="291">
        <v>855.96</v>
      </c>
      <c r="R140" s="155">
        <f aca="true" t="shared" si="48" ref="R140:R145">K140/4</f>
        <v>1666.6666666666665</v>
      </c>
      <c r="S140" s="291">
        <f>SUMIF(Hoja1!B:B,'Budget YR2-4 DC+Hm'!D:D,Hoja1!G:G)</f>
        <v>2296.4300000000003</v>
      </c>
      <c r="T140" s="87">
        <v>12</v>
      </c>
      <c r="U140" s="215">
        <v>6667</v>
      </c>
      <c r="V140" s="85">
        <v>12</v>
      </c>
      <c r="W140" s="215">
        <v>6667</v>
      </c>
      <c r="X140" s="88">
        <f t="shared" si="43"/>
        <v>20000.666666666664</v>
      </c>
      <c r="Y140" s="89" t="s">
        <v>713</v>
      </c>
      <c r="Z140" s="65">
        <v>3</v>
      </c>
      <c r="AA140" s="63" t="s">
        <v>683</v>
      </c>
      <c r="AB140" s="63" t="s">
        <v>519</v>
      </c>
      <c r="AC140" s="63" t="s">
        <v>546</v>
      </c>
      <c r="AD140" s="63" t="s">
        <v>647</v>
      </c>
      <c r="AE140" s="95" t="s">
        <v>522</v>
      </c>
    </row>
    <row r="141" spans="1:31" ht="10.5">
      <c r="A141" s="63" t="s">
        <v>503</v>
      </c>
      <c r="B141" s="95" t="s">
        <v>32</v>
      </c>
      <c r="C141" s="95" t="s">
        <v>855</v>
      </c>
      <c r="D141" s="276" t="s">
        <v>966</v>
      </c>
      <c r="E141" s="83" t="s">
        <v>714</v>
      </c>
      <c r="F141" s="96">
        <v>0.3333333333333333</v>
      </c>
      <c r="G141" s="47">
        <v>2500</v>
      </c>
      <c r="H141" s="47" t="s">
        <v>90</v>
      </c>
      <c r="I141" s="99">
        <f t="shared" si="44"/>
        <v>833.3333333333333</v>
      </c>
      <c r="J141" s="85">
        <v>8</v>
      </c>
      <c r="K141" s="86">
        <f>J141*I141</f>
        <v>6666.666666666666</v>
      </c>
      <c r="L141" s="155">
        <f t="shared" si="45"/>
        <v>1666.6666666666665</v>
      </c>
      <c r="M141" s="291">
        <v>0</v>
      </c>
      <c r="N141" s="155">
        <f t="shared" si="46"/>
        <v>1666.6666666666665</v>
      </c>
      <c r="O141" s="291">
        <v>0</v>
      </c>
      <c r="P141" s="155">
        <f t="shared" si="47"/>
        <v>1666.6666666666665</v>
      </c>
      <c r="Q141" s="291">
        <v>957.6600000000001</v>
      </c>
      <c r="R141" s="155">
        <f t="shared" si="48"/>
        <v>1666.6666666666665</v>
      </c>
      <c r="S141" s="291">
        <f>SUMIF(Hoja1!B:B,'Budget YR2-4 DC+Hm'!D:D,Hoja1!G:G)</f>
        <v>447.58</v>
      </c>
      <c r="T141" s="87">
        <v>12</v>
      </c>
      <c r="U141" s="215">
        <v>6667</v>
      </c>
      <c r="V141" s="85">
        <v>12</v>
      </c>
      <c r="W141" s="215">
        <v>6667</v>
      </c>
      <c r="X141" s="88">
        <f t="shared" si="43"/>
        <v>20000.666666666664</v>
      </c>
      <c r="Y141" s="89" t="s">
        <v>713</v>
      </c>
      <c r="Z141" s="65">
        <v>3</v>
      </c>
      <c r="AA141" s="63" t="s">
        <v>683</v>
      </c>
      <c r="AB141" s="63" t="s">
        <v>519</v>
      </c>
      <c r="AC141" s="63" t="s">
        <v>546</v>
      </c>
      <c r="AD141" s="63" t="s">
        <v>647</v>
      </c>
      <c r="AE141" s="95" t="s">
        <v>524</v>
      </c>
    </row>
    <row r="142" spans="1:31" ht="10.5">
      <c r="A142" s="63" t="s">
        <v>503</v>
      </c>
      <c r="B142" s="95" t="s">
        <v>32</v>
      </c>
      <c r="C142" s="95" t="s">
        <v>855</v>
      </c>
      <c r="D142" s="276" t="s">
        <v>967</v>
      </c>
      <c r="E142" s="83" t="s">
        <v>715</v>
      </c>
      <c r="F142" s="96">
        <v>0.3333333333333333</v>
      </c>
      <c r="G142" s="47">
        <v>2500</v>
      </c>
      <c r="H142" s="47" t="s">
        <v>90</v>
      </c>
      <c r="I142" s="99">
        <f t="shared" si="44"/>
        <v>833.3333333333333</v>
      </c>
      <c r="J142" s="85">
        <v>8</v>
      </c>
      <c r="K142" s="86">
        <f>J142*I142</f>
        <v>6666.666666666666</v>
      </c>
      <c r="L142" s="155">
        <f t="shared" si="45"/>
        <v>1666.6666666666665</v>
      </c>
      <c r="M142" s="291">
        <v>0</v>
      </c>
      <c r="N142" s="155">
        <f t="shared" si="46"/>
        <v>1666.6666666666665</v>
      </c>
      <c r="O142" s="291">
        <v>0</v>
      </c>
      <c r="P142" s="155">
        <f t="shared" si="47"/>
        <v>1666.6666666666665</v>
      </c>
      <c r="Q142" s="291">
        <v>855.96</v>
      </c>
      <c r="R142" s="155">
        <f t="shared" si="48"/>
        <v>1666.6666666666665</v>
      </c>
      <c r="S142" s="291">
        <f>SUMIF(Hoja1!B:B,'Budget YR2-4 DC+Hm'!D:D,Hoja1!G:G)</f>
        <v>394.92</v>
      </c>
      <c r="T142" s="87">
        <v>12</v>
      </c>
      <c r="U142" s="215">
        <v>6667</v>
      </c>
      <c r="V142" s="85">
        <v>12</v>
      </c>
      <c r="W142" s="215">
        <v>6667</v>
      </c>
      <c r="X142" s="88">
        <f t="shared" si="43"/>
        <v>20000.666666666664</v>
      </c>
      <c r="Y142" s="89" t="s">
        <v>713</v>
      </c>
      <c r="Z142" s="65">
        <v>3</v>
      </c>
      <c r="AA142" s="63" t="s">
        <v>683</v>
      </c>
      <c r="AB142" s="63" t="s">
        <v>519</v>
      </c>
      <c r="AC142" s="63" t="s">
        <v>546</v>
      </c>
      <c r="AD142" s="63" t="s">
        <v>647</v>
      </c>
      <c r="AE142" s="95" t="s">
        <v>526</v>
      </c>
    </row>
    <row r="143" spans="1:31" ht="10.5">
      <c r="A143" s="63" t="s">
        <v>503</v>
      </c>
      <c r="B143" s="95" t="s">
        <v>34</v>
      </c>
      <c r="C143" s="95" t="s">
        <v>855</v>
      </c>
      <c r="D143" s="95" t="s">
        <v>1032</v>
      </c>
      <c r="E143" s="83" t="s">
        <v>716</v>
      </c>
      <c r="F143" s="43">
        <v>1</v>
      </c>
      <c r="G143" s="47">
        <v>240</v>
      </c>
      <c r="H143" s="47" t="s">
        <v>90</v>
      </c>
      <c r="I143" s="99">
        <f t="shared" si="44"/>
        <v>240</v>
      </c>
      <c r="J143" s="85">
        <v>12</v>
      </c>
      <c r="K143" s="86">
        <f>J143*I143</f>
        <v>2880</v>
      </c>
      <c r="L143" s="155">
        <f t="shared" si="45"/>
        <v>720</v>
      </c>
      <c r="M143" s="291">
        <v>589.5999999999999</v>
      </c>
      <c r="N143" s="155">
        <f t="shared" si="46"/>
        <v>720</v>
      </c>
      <c r="O143" s="291">
        <v>120.77000000000001</v>
      </c>
      <c r="P143" s="155">
        <f t="shared" si="47"/>
        <v>720</v>
      </c>
      <c r="Q143" s="291">
        <v>305.09999999999997</v>
      </c>
      <c r="R143" s="155">
        <f t="shared" si="48"/>
        <v>720</v>
      </c>
      <c r="S143" s="291">
        <f>SUMIF(Hoja1!B:B,'Budget YR2-4 DC+Hm'!D:D,Hoja1!G:G)</f>
        <v>2823.54</v>
      </c>
      <c r="T143" s="87">
        <v>12</v>
      </c>
      <c r="U143" s="215">
        <v>2880</v>
      </c>
      <c r="V143" s="85">
        <v>12</v>
      </c>
      <c r="W143" s="215">
        <v>2880</v>
      </c>
      <c r="X143" s="88">
        <f t="shared" si="43"/>
        <v>8640</v>
      </c>
      <c r="Y143" s="89" t="s">
        <v>717</v>
      </c>
      <c r="Z143" s="65">
        <v>3</v>
      </c>
      <c r="AA143" s="63" t="s">
        <v>683</v>
      </c>
      <c r="AB143" s="63" t="s">
        <v>519</v>
      </c>
      <c r="AC143" s="63" t="s">
        <v>546</v>
      </c>
      <c r="AD143" s="63" t="s">
        <v>647</v>
      </c>
      <c r="AE143" s="95" t="s">
        <v>522</v>
      </c>
    </row>
    <row r="144" spans="1:31" ht="10.5">
      <c r="A144" s="63" t="s">
        <v>503</v>
      </c>
      <c r="B144" s="95" t="s">
        <v>34</v>
      </c>
      <c r="C144" s="95" t="s">
        <v>855</v>
      </c>
      <c r="D144" s="95" t="s">
        <v>1033</v>
      </c>
      <c r="E144" s="83" t="s">
        <v>718</v>
      </c>
      <c r="F144" s="43">
        <v>1</v>
      </c>
      <c r="G144" s="47">
        <v>240</v>
      </c>
      <c r="H144" s="47" t="s">
        <v>90</v>
      </c>
      <c r="I144" s="99">
        <f t="shared" si="44"/>
        <v>240</v>
      </c>
      <c r="J144" s="85">
        <v>12</v>
      </c>
      <c r="K144" s="86">
        <f>J144*I144+'Budget YR1 DC'!O74</f>
        <v>3930</v>
      </c>
      <c r="L144" s="155">
        <f t="shared" si="45"/>
        <v>982.5</v>
      </c>
      <c r="M144" s="291">
        <v>1223.27</v>
      </c>
      <c r="N144" s="155">
        <f t="shared" si="46"/>
        <v>982.5</v>
      </c>
      <c r="O144" s="291">
        <v>25.61</v>
      </c>
      <c r="P144" s="155">
        <f t="shared" si="47"/>
        <v>982.5</v>
      </c>
      <c r="Q144" s="291">
        <v>1256.3999999999999</v>
      </c>
      <c r="R144" s="155">
        <f t="shared" si="48"/>
        <v>982.5</v>
      </c>
      <c r="S144" s="291">
        <f>SUMIF(Hoja1!B:B,'Budget YR2-4 DC+Hm'!D:D,Hoja1!G:G)</f>
        <v>771.02</v>
      </c>
      <c r="T144" s="87">
        <v>12</v>
      </c>
      <c r="U144" s="215">
        <v>2880</v>
      </c>
      <c r="V144" s="85">
        <v>12</v>
      </c>
      <c r="W144" s="215">
        <v>2880</v>
      </c>
      <c r="X144" s="88">
        <f t="shared" si="43"/>
        <v>9690</v>
      </c>
      <c r="Y144" s="89" t="s">
        <v>717</v>
      </c>
      <c r="Z144" s="65">
        <v>3</v>
      </c>
      <c r="AA144" s="63" t="s">
        <v>683</v>
      </c>
      <c r="AB144" s="63" t="s">
        <v>519</v>
      </c>
      <c r="AC144" s="63" t="s">
        <v>546</v>
      </c>
      <c r="AD144" s="63" t="s">
        <v>647</v>
      </c>
      <c r="AE144" s="95" t="s">
        <v>524</v>
      </c>
    </row>
    <row r="145" spans="1:31" ht="10.5">
      <c r="A145" s="63" t="s">
        <v>503</v>
      </c>
      <c r="B145" s="95" t="s">
        <v>34</v>
      </c>
      <c r="C145" s="95" t="s">
        <v>855</v>
      </c>
      <c r="D145" s="95" t="s">
        <v>1034</v>
      </c>
      <c r="E145" s="83" t="s">
        <v>719</v>
      </c>
      <c r="F145" s="43">
        <v>1</v>
      </c>
      <c r="G145" s="47">
        <v>240</v>
      </c>
      <c r="H145" s="47" t="s">
        <v>90</v>
      </c>
      <c r="I145" s="99">
        <f t="shared" si="44"/>
        <v>240</v>
      </c>
      <c r="J145" s="85">
        <v>12</v>
      </c>
      <c r="K145" s="86">
        <f>J145*I145+'Budget YR1 DC'!O75</f>
        <v>3598.98</v>
      </c>
      <c r="L145" s="155">
        <f t="shared" si="45"/>
        <v>899.745</v>
      </c>
      <c r="M145" s="291">
        <v>676.08</v>
      </c>
      <c r="N145" s="155">
        <f t="shared" si="46"/>
        <v>899.745</v>
      </c>
      <c r="O145" s="291">
        <v>768.38</v>
      </c>
      <c r="P145" s="155">
        <f t="shared" si="47"/>
        <v>899.745</v>
      </c>
      <c r="Q145" s="291">
        <v>2259.09</v>
      </c>
      <c r="R145" s="155">
        <f t="shared" si="48"/>
        <v>899.745</v>
      </c>
      <c r="S145" s="291">
        <f>SUMIF(Hoja1!B:B,'Budget YR2-4 DC+Hm'!D:D,Hoja1!G:G)</f>
        <v>468.89</v>
      </c>
      <c r="T145" s="87">
        <v>12</v>
      </c>
      <c r="U145" s="215">
        <v>2880</v>
      </c>
      <c r="V145" s="85">
        <v>12</v>
      </c>
      <c r="W145" s="215">
        <v>2880</v>
      </c>
      <c r="X145" s="88">
        <f t="shared" si="43"/>
        <v>9358.98</v>
      </c>
      <c r="Y145" s="89" t="s">
        <v>717</v>
      </c>
      <c r="Z145" s="65">
        <v>3</v>
      </c>
      <c r="AA145" s="63" t="s">
        <v>683</v>
      </c>
      <c r="AB145" s="63" t="s">
        <v>519</v>
      </c>
      <c r="AC145" s="63" t="s">
        <v>546</v>
      </c>
      <c r="AD145" s="63" t="s">
        <v>647</v>
      </c>
      <c r="AE145" s="95" t="s">
        <v>526</v>
      </c>
    </row>
    <row r="146" spans="1:28" ht="27" customHeight="1">
      <c r="A146" s="63" t="s">
        <v>503</v>
      </c>
      <c r="B146" s="95"/>
      <c r="C146" s="95"/>
      <c r="D146" s="95"/>
      <c r="E146" s="302" t="s">
        <v>720</v>
      </c>
      <c r="F146" s="111"/>
      <c r="G146" s="111"/>
      <c r="H146" s="111"/>
      <c r="I146" s="111"/>
      <c r="J146" s="113"/>
      <c r="K146" s="114"/>
      <c r="L146" s="70"/>
      <c r="M146" s="292"/>
      <c r="N146" s="70"/>
      <c r="O146" s="292"/>
      <c r="P146" s="70"/>
      <c r="Q146" s="291"/>
      <c r="R146" s="70"/>
      <c r="S146" s="292"/>
      <c r="T146" s="111"/>
      <c r="U146" s="112"/>
      <c r="V146" s="113"/>
      <c r="W146" s="114"/>
      <c r="X146" s="88">
        <f t="shared" si="43"/>
        <v>0</v>
      </c>
      <c r="Y146" s="82"/>
      <c r="Z146" s="82"/>
      <c r="AA146" s="95"/>
      <c r="AB146" s="95"/>
    </row>
    <row r="147" spans="1:31" s="95" customFormat="1" ht="10.5">
      <c r="A147" s="63" t="s">
        <v>503</v>
      </c>
      <c r="B147" s="95" t="s">
        <v>8</v>
      </c>
      <c r="C147" s="95" t="s">
        <v>46</v>
      </c>
      <c r="D147" s="276" t="s">
        <v>957</v>
      </c>
      <c r="E147" s="83" t="s">
        <v>721</v>
      </c>
      <c r="F147" s="48">
        <v>0</v>
      </c>
      <c r="G147" s="49">
        <v>3200</v>
      </c>
      <c r="H147" s="49" t="s">
        <v>90</v>
      </c>
      <c r="I147" s="99">
        <f>F147*G147</f>
        <v>0</v>
      </c>
      <c r="J147" s="116">
        <v>12</v>
      </c>
      <c r="K147" s="86">
        <f>'Budget YR1 DC'!O79</f>
        <v>7077.950000000001</v>
      </c>
      <c r="L147" s="155">
        <v>7078</v>
      </c>
      <c r="M147" s="291">
        <v>306.12</v>
      </c>
      <c r="N147" s="155"/>
      <c r="O147" s="291">
        <v>61.49</v>
      </c>
      <c r="P147" s="155"/>
      <c r="Q147" s="291">
        <v>0</v>
      </c>
      <c r="R147" s="155"/>
      <c r="S147" s="291">
        <f>SUMIF(Hoja1!B:B,'Budget YR2-4 DC+Hm'!D:D,Hoja1!G:G)</f>
        <v>0</v>
      </c>
      <c r="T147" s="117">
        <v>12</v>
      </c>
      <c r="U147" s="84">
        <f aca="true" t="shared" si="49" ref="U147:U158">T147*I147</f>
        <v>0</v>
      </c>
      <c r="V147" s="116">
        <v>12</v>
      </c>
      <c r="W147" s="86">
        <f aca="true" t="shared" si="50" ref="W147:W158">V147*I147</f>
        <v>0</v>
      </c>
      <c r="X147" s="88">
        <f t="shared" si="43"/>
        <v>7077.950000000001</v>
      </c>
      <c r="Y147" s="99" t="s">
        <v>722</v>
      </c>
      <c r="Z147" s="118" t="s">
        <v>545</v>
      </c>
      <c r="AA147" s="95" t="s">
        <v>519</v>
      </c>
      <c r="AB147" s="95" t="s">
        <v>519</v>
      </c>
      <c r="AC147" s="95" t="s">
        <v>540</v>
      </c>
      <c r="AD147" s="95" t="s">
        <v>592</v>
      </c>
      <c r="AE147" s="95" t="s">
        <v>526</v>
      </c>
    </row>
    <row r="148" spans="1:31" s="95" customFormat="1" ht="10.5">
      <c r="A148" s="63" t="s">
        <v>503</v>
      </c>
      <c r="B148" s="95" t="s">
        <v>8</v>
      </c>
      <c r="C148" s="95" t="s">
        <v>46</v>
      </c>
      <c r="D148" s="276" t="s">
        <v>956</v>
      </c>
      <c r="E148" s="83" t="s">
        <v>723</v>
      </c>
      <c r="F148" s="48">
        <v>3</v>
      </c>
      <c r="G148" s="49">
        <v>250</v>
      </c>
      <c r="H148" s="49" t="s">
        <v>90</v>
      </c>
      <c r="I148" s="99">
        <f>F148*G148</f>
        <v>750</v>
      </c>
      <c r="J148" s="116">
        <v>12</v>
      </c>
      <c r="K148" s="86">
        <f>J148*I148+'Budget YR1 DC'!O87</f>
        <v>10964.84</v>
      </c>
      <c r="L148" s="155">
        <f>K148/4</f>
        <v>2741.21</v>
      </c>
      <c r="M148" s="291">
        <v>96.94</v>
      </c>
      <c r="N148" s="155">
        <f>K148/4</f>
        <v>2741.21</v>
      </c>
      <c r="O148" s="291">
        <v>85.13000000000001</v>
      </c>
      <c r="P148" s="155">
        <f>K148/4</f>
        <v>2741.21</v>
      </c>
      <c r="Q148" s="291">
        <v>1356.37</v>
      </c>
      <c r="R148" s="155">
        <f>K148/4</f>
        <v>2741.21</v>
      </c>
      <c r="S148" s="291">
        <f>SUMIF(Hoja1!B:B,'Budget YR2-4 DC+Hm'!D:D,Hoja1!G:G)</f>
        <v>1016.2400000000001</v>
      </c>
      <c r="T148" s="117">
        <v>12</v>
      </c>
      <c r="U148" s="84">
        <f t="shared" si="49"/>
        <v>9000</v>
      </c>
      <c r="V148" s="116">
        <v>12</v>
      </c>
      <c r="W148" s="86">
        <f t="shared" si="50"/>
        <v>9000</v>
      </c>
      <c r="X148" s="88">
        <f t="shared" si="43"/>
        <v>28964.84</v>
      </c>
      <c r="Y148" s="99" t="s">
        <v>724</v>
      </c>
      <c r="Z148" s="118" t="s">
        <v>545</v>
      </c>
      <c r="AA148" s="95" t="s">
        <v>519</v>
      </c>
      <c r="AB148" s="95" t="s">
        <v>519</v>
      </c>
      <c r="AC148" s="95" t="s">
        <v>540</v>
      </c>
      <c r="AD148" s="95" t="s">
        <v>647</v>
      </c>
      <c r="AE148" s="95" t="s">
        <v>526</v>
      </c>
    </row>
    <row r="149" spans="1:31" ht="10.5">
      <c r="A149" s="63" t="s">
        <v>503</v>
      </c>
      <c r="B149" s="95" t="s">
        <v>8</v>
      </c>
      <c r="C149" s="95" t="s">
        <v>44</v>
      </c>
      <c r="D149" s="276" t="s">
        <v>958</v>
      </c>
      <c r="E149" s="83" t="s">
        <v>725</v>
      </c>
      <c r="F149" s="43">
        <v>1</v>
      </c>
      <c r="G149" s="47">
        <v>250</v>
      </c>
      <c r="H149" s="47" t="s">
        <v>90</v>
      </c>
      <c r="I149" s="99">
        <f aca="true" t="shared" si="51" ref="I149:I158">F149*G149</f>
        <v>250</v>
      </c>
      <c r="J149" s="85">
        <v>12</v>
      </c>
      <c r="K149" s="86">
        <f aca="true" t="shared" si="52" ref="K149:K158">J149*I149</f>
        <v>3000</v>
      </c>
      <c r="L149" s="155">
        <f>K149/4</f>
        <v>750</v>
      </c>
      <c r="M149" s="291">
        <v>0</v>
      </c>
      <c r="N149" s="155">
        <f>K149/4</f>
        <v>750</v>
      </c>
      <c r="O149" s="291">
        <v>0</v>
      </c>
      <c r="P149" s="155">
        <f>K149/4</f>
        <v>750</v>
      </c>
      <c r="Q149" s="291">
        <v>0</v>
      </c>
      <c r="R149" s="155">
        <f>K149/4</f>
        <v>750</v>
      </c>
      <c r="S149" s="291">
        <f>SUMIF(Hoja1!B:B,'Budget YR2-4 DC+Hm'!D:D,Hoja1!G:G)</f>
        <v>0</v>
      </c>
      <c r="T149" s="87">
        <v>12</v>
      </c>
      <c r="U149" s="84">
        <f t="shared" si="49"/>
        <v>3000</v>
      </c>
      <c r="V149" s="85">
        <v>12</v>
      </c>
      <c r="W149" s="86">
        <f t="shared" si="50"/>
        <v>3000</v>
      </c>
      <c r="X149" s="88">
        <f t="shared" si="43"/>
        <v>9000</v>
      </c>
      <c r="Y149" s="89" t="s">
        <v>726</v>
      </c>
      <c r="Z149" s="118" t="s">
        <v>545</v>
      </c>
      <c r="AA149" s="95" t="s">
        <v>519</v>
      </c>
      <c r="AB149" s="95" t="s">
        <v>519</v>
      </c>
      <c r="AC149" s="95" t="s">
        <v>540</v>
      </c>
      <c r="AD149" s="95" t="s">
        <v>647</v>
      </c>
      <c r="AE149" s="63" t="s">
        <v>522</v>
      </c>
    </row>
    <row r="150" spans="1:31" ht="10.5">
      <c r="A150" s="63" t="s">
        <v>503</v>
      </c>
      <c r="B150" s="95" t="s">
        <v>8</v>
      </c>
      <c r="C150" s="95" t="s">
        <v>44</v>
      </c>
      <c r="D150" s="276" t="s">
        <v>959</v>
      </c>
      <c r="E150" s="83" t="s">
        <v>727</v>
      </c>
      <c r="F150" s="43">
        <v>1</v>
      </c>
      <c r="G150" s="47">
        <v>250</v>
      </c>
      <c r="H150" s="47" t="s">
        <v>90</v>
      </c>
      <c r="I150" s="99">
        <f t="shared" si="51"/>
        <v>250</v>
      </c>
      <c r="J150" s="85">
        <v>12</v>
      </c>
      <c r="K150" s="86">
        <f t="shared" si="52"/>
        <v>3000</v>
      </c>
      <c r="L150" s="155">
        <f>K150/4</f>
        <v>750</v>
      </c>
      <c r="M150" s="291">
        <v>0</v>
      </c>
      <c r="N150" s="155">
        <f>K150/4</f>
        <v>750</v>
      </c>
      <c r="O150" s="291">
        <v>0</v>
      </c>
      <c r="P150" s="155">
        <f>K150/4</f>
        <v>750</v>
      </c>
      <c r="Q150" s="291">
        <v>0</v>
      </c>
      <c r="R150" s="155">
        <f>K150/4</f>
        <v>750</v>
      </c>
      <c r="S150" s="291">
        <f>SUMIF(Hoja1!B:B,'Budget YR2-4 DC+Hm'!D:D,Hoja1!G:G)</f>
        <v>0</v>
      </c>
      <c r="T150" s="87">
        <v>12</v>
      </c>
      <c r="U150" s="84">
        <f t="shared" si="49"/>
        <v>3000</v>
      </c>
      <c r="V150" s="85">
        <v>12</v>
      </c>
      <c r="W150" s="86">
        <f t="shared" si="50"/>
        <v>3000</v>
      </c>
      <c r="X150" s="88">
        <f t="shared" si="43"/>
        <v>9000</v>
      </c>
      <c r="Y150" s="89" t="s">
        <v>726</v>
      </c>
      <c r="Z150" s="118" t="s">
        <v>545</v>
      </c>
      <c r="AA150" s="95" t="s">
        <v>519</v>
      </c>
      <c r="AB150" s="95" t="s">
        <v>519</v>
      </c>
      <c r="AC150" s="95" t="s">
        <v>540</v>
      </c>
      <c r="AD150" s="95" t="s">
        <v>647</v>
      </c>
      <c r="AE150" s="63" t="s">
        <v>524</v>
      </c>
    </row>
    <row r="151" spans="1:31" ht="10.5">
      <c r="A151" s="63" t="s">
        <v>503</v>
      </c>
      <c r="B151" s="95" t="s">
        <v>8</v>
      </c>
      <c r="C151" s="95" t="s">
        <v>44</v>
      </c>
      <c r="D151" s="276" t="s">
        <v>960</v>
      </c>
      <c r="E151" s="83" t="s">
        <v>728</v>
      </c>
      <c r="F151" s="43">
        <v>1</v>
      </c>
      <c r="G151" s="47">
        <v>250</v>
      </c>
      <c r="H151" s="47" t="s">
        <v>90</v>
      </c>
      <c r="I151" s="99">
        <f t="shared" si="51"/>
        <v>250</v>
      </c>
      <c r="J151" s="85">
        <v>12</v>
      </c>
      <c r="K151" s="86">
        <f>J151*I151+'Budget YR1 DC'!O88</f>
        <v>4050</v>
      </c>
      <c r="L151" s="155">
        <f>K151/4</f>
        <v>1012.5</v>
      </c>
      <c r="M151" s="291">
        <v>0</v>
      </c>
      <c r="N151" s="155">
        <f>K151/4</f>
        <v>1012.5</v>
      </c>
      <c r="O151" s="291">
        <v>0</v>
      </c>
      <c r="P151" s="155">
        <f>K151/4</f>
        <v>1012.5</v>
      </c>
      <c r="Q151" s="291">
        <v>0</v>
      </c>
      <c r="R151" s="155">
        <f>K151/4</f>
        <v>1012.5</v>
      </c>
      <c r="S151" s="291">
        <f>SUMIF(Hoja1!B:B,'Budget YR2-4 DC+Hm'!D:D,Hoja1!G:G)</f>
        <v>0</v>
      </c>
      <c r="T151" s="87">
        <v>12</v>
      </c>
      <c r="U151" s="84">
        <f t="shared" si="49"/>
        <v>3000</v>
      </c>
      <c r="V151" s="85">
        <v>12</v>
      </c>
      <c r="W151" s="86">
        <f t="shared" si="50"/>
        <v>3000</v>
      </c>
      <c r="X151" s="88">
        <f t="shared" si="43"/>
        <v>10050</v>
      </c>
      <c r="Y151" s="89" t="s">
        <v>726</v>
      </c>
      <c r="Z151" s="118" t="s">
        <v>545</v>
      </c>
      <c r="AA151" s="95" t="s">
        <v>519</v>
      </c>
      <c r="AB151" s="95" t="s">
        <v>519</v>
      </c>
      <c r="AC151" s="95" t="s">
        <v>540</v>
      </c>
      <c r="AD151" s="95" t="s">
        <v>647</v>
      </c>
      <c r="AE151" s="63" t="s">
        <v>526</v>
      </c>
    </row>
    <row r="152" spans="1:31" ht="10.5">
      <c r="A152" s="63" t="s">
        <v>503</v>
      </c>
      <c r="B152" s="95" t="s">
        <v>8</v>
      </c>
      <c r="C152" s="95" t="s">
        <v>58</v>
      </c>
      <c r="D152" s="276" t="s">
        <v>953</v>
      </c>
      <c r="E152" s="83" t="s">
        <v>729</v>
      </c>
      <c r="F152" s="48">
        <v>1</v>
      </c>
      <c r="G152" s="49">
        <v>300</v>
      </c>
      <c r="H152" s="49" t="s">
        <v>350</v>
      </c>
      <c r="I152" s="99">
        <f>F152*G152</f>
        <v>300</v>
      </c>
      <c r="J152" s="116">
        <v>9</v>
      </c>
      <c r="K152" s="86">
        <f>J152*I152+'Budget YR1 DC'!O78+'Budget YR1 DC'!O78</f>
        <v>3629.5200000000004</v>
      </c>
      <c r="L152" s="155"/>
      <c r="M152" s="291">
        <v>385.69</v>
      </c>
      <c r="N152" s="155">
        <f>K152/3</f>
        <v>1209.8400000000001</v>
      </c>
      <c r="O152" s="291">
        <v>744.3</v>
      </c>
      <c r="P152" s="155">
        <f>K152/3</f>
        <v>1209.8400000000001</v>
      </c>
      <c r="Q152" s="291">
        <v>3083.6099999999997</v>
      </c>
      <c r="R152" s="155">
        <f>K152/3</f>
        <v>1209.8400000000001</v>
      </c>
      <c r="S152" s="291">
        <f>SUMIF(Hoja1!B:B,'Budget YR2-4 DC+Hm'!D:D,Hoja1!G:G)</f>
        <v>2113.95</v>
      </c>
      <c r="T152" s="117">
        <v>9</v>
      </c>
      <c r="U152" s="84">
        <f t="shared" si="49"/>
        <v>2700</v>
      </c>
      <c r="V152" s="116">
        <v>9</v>
      </c>
      <c r="W152" s="86">
        <f t="shared" si="50"/>
        <v>2700</v>
      </c>
      <c r="X152" s="88">
        <f t="shared" si="43"/>
        <v>9029.52</v>
      </c>
      <c r="Y152" s="99" t="s">
        <v>730</v>
      </c>
      <c r="Z152" s="118" t="s">
        <v>518</v>
      </c>
      <c r="AA152" s="95" t="s">
        <v>519</v>
      </c>
      <c r="AB152" s="95" t="s">
        <v>519</v>
      </c>
      <c r="AC152" s="95" t="s">
        <v>540</v>
      </c>
      <c r="AD152" s="95" t="s">
        <v>587</v>
      </c>
      <c r="AE152" s="63" t="s">
        <v>522</v>
      </c>
    </row>
    <row r="153" spans="1:31" ht="10.5">
      <c r="A153" s="63" t="s">
        <v>503</v>
      </c>
      <c r="B153" s="95" t="s">
        <v>8</v>
      </c>
      <c r="C153" s="95" t="s">
        <v>58</v>
      </c>
      <c r="D153" s="276" t="s">
        <v>954</v>
      </c>
      <c r="E153" s="83" t="s">
        <v>731</v>
      </c>
      <c r="F153" s="48">
        <v>1</v>
      </c>
      <c r="G153" s="49">
        <v>300</v>
      </c>
      <c r="H153" s="49" t="s">
        <v>350</v>
      </c>
      <c r="I153" s="99">
        <f>F153*G153</f>
        <v>300</v>
      </c>
      <c r="J153" s="116">
        <v>9</v>
      </c>
      <c r="K153" s="86">
        <f>J153*I153+'Budget YR1 DC'!O83</f>
        <v>3900</v>
      </c>
      <c r="L153" s="155"/>
      <c r="M153" s="291">
        <v>0</v>
      </c>
      <c r="N153" s="155">
        <f>K153/3</f>
        <v>1300</v>
      </c>
      <c r="O153" s="291">
        <v>227.64999999999998</v>
      </c>
      <c r="P153" s="155">
        <f>K153/3</f>
        <v>1300</v>
      </c>
      <c r="Q153" s="291">
        <v>553.6199999999999</v>
      </c>
      <c r="R153" s="155">
        <f>K153/3</f>
        <v>1300</v>
      </c>
      <c r="S153" s="291">
        <f>SUMIF(Hoja1!B:B,'Budget YR2-4 DC+Hm'!D:D,Hoja1!G:G)</f>
        <v>170.81</v>
      </c>
      <c r="T153" s="117">
        <v>9</v>
      </c>
      <c r="U153" s="84">
        <f t="shared" si="49"/>
        <v>2700</v>
      </c>
      <c r="V153" s="116">
        <v>9</v>
      </c>
      <c r="W153" s="86">
        <f t="shared" si="50"/>
        <v>2700</v>
      </c>
      <c r="X153" s="88">
        <f t="shared" si="43"/>
        <v>9300</v>
      </c>
      <c r="Y153" s="99" t="s">
        <v>730</v>
      </c>
      <c r="Z153" s="118" t="s">
        <v>518</v>
      </c>
      <c r="AA153" s="95" t="s">
        <v>519</v>
      </c>
      <c r="AB153" s="95" t="s">
        <v>519</v>
      </c>
      <c r="AC153" s="95" t="s">
        <v>540</v>
      </c>
      <c r="AD153" s="95" t="s">
        <v>587</v>
      </c>
      <c r="AE153" s="63" t="s">
        <v>524</v>
      </c>
    </row>
    <row r="154" spans="1:31" ht="10.5">
      <c r="A154" s="63" t="s">
        <v>503</v>
      </c>
      <c r="B154" s="95" t="s">
        <v>8</v>
      </c>
      <c r="C154" s="95" t="s">
        <v>58</v>
      </c>
      <c r="D154" s="276" t="s">
        <v>955</v>
      </c>
      <c r="E154" s="83" t="s">
        <v>732</v>
      </c>
      <c r="F154" s="48">
        <v>1</v>
      </c>
      <c r="G154" s="49">
        <v>300</v>
      </c>
      <c r="H154" s="49" t="s">
        <v>350</v>
      </c>
      <c r="I154" s="99">
        <f>F154*G154</f>
        <v>300</v>
      </c>
      <c r="J154" s="116">
        <v>9</v>
      </c>
      <c r="K154" s="86">
        <f>J154*I154+'Budget YR1 DC'!O86</f>
        <v>4046.95</v>
      </c>
      <c r="L154" s="155"/>
      <c r="M154" s="291">
        <v>0</v>
      </c>
      <c r="N154" s="155">
        <f>K154/3</f>
        <v>1348.9833333333333</v>
      </c>
      <c r="O154" s="291">
        <v>57.19</v>
      </c>
      <c r="P154" s="155">
        <f>K154/3</f>
        <v>1348.9833333333333</v>
      </c>
      <c r="Q154" s="291">
        <v>300.3</v>
      </c>
      <c r="R154" s="155">
        <f>K154/3</f>
        <v>1348.9833333333333</v>
      </c>
      <c r="S154" s="291">
        <f>SUMIF(Hoja1!B:B,'Budget YR2-4 DC+Hm'!D:D,Hoja1!G:G)</f>
        <v>316</v>
      </c>
      <c r="T154" s="117">
        <v>9</v>
      </c>
      <c r="U154" s="84">
        <f t="shared" si="49"/>
        <v>2700</v>
      </c>
      <c r="V154" s="116">
        <v>9</v>
      </c>
      <c r="W154" s="86">
        <f t="shared" si="50"/>
        <v>2700</v>
      </c>
      <c r="X154" s="88">
        <f t="shared" si="43"/>
        <v>9446.95</v>
      </c>
      <c r="Y154" s="99" t="s">
        <v>730</v>
      </c>
      <c r="Z154" s="118" t="s">
        <v>518</v>
      </c>
      <c r="AA154" s="95" t="s">
        <v>519</v>
      </c>
      <c r="AB154" s="95" t="s">
        <v>519</v>
      </c>
      <c r="AC154" s="95" t="s">
        <v>540</v>
      </c>
      <c r="AD154" s="95" t="s">
        <v>587</v>
      </c>
      <c r="AE154" s="63" t="s">
        <v>526</v>
      </c>
    </row>
    <row r="155" spans="1:31" ht="21.75">
      <c r="A155" s="63" t="s">
        <v>503</v>
      </c>
      <c r="B155" s="95" t="s">
        <v>8</v>
      </c>
      <c r="C155" s="95" t="s">
        <v>58</v>
      </c>
      <c r="D155" s="276" t="s">
        <v>952</v>
      </c>
      <c r="E155" s="83" t="s">
        <v>359</v>
      </c>
      <c r="F155" s="43">
        <v>1</v>
      </c>
      <c r="G155" s="47">
        <v>1500</v>
      </c>
      <c r="H155" s="47" t="s">
        <v>350</v>
      </c>
      <c r="I155" s="99">
        <f t="shared" si="51"/>
        <v>1500</v>
      </c>
      <c r="J155" s="85">
        <v>4</v>
      </c>
      <c r="K155" s="86">
        <f t="shared" si="52"/>
        <v>6000</v>
      </c>
      <c r="L155" s="155">
        <v>1500</v>
      </c>
      <c r="M155" s="291">
        <v>358.94</v>
      </c>
      <c r="N155" s="155">
        <v>1500</v>
      </c>
      <c r="O155" s="291">
        <v>2267.49</v>
      </c>
      <c r="P155" s="155">
        <v>1500</v>
      </c>
      <c r="Q155" s="291">
        <v>6599.02</v>
      </c>
      <c r="R155" s="155">
        <v>1500</v>
      </c>
      <c r="S155" s="291">
        <f>SUMIF(Hoja1!B:B,'Budget YR2-4 DC+Hm'!D:D,Hoja1!G:G)</f>
        <v>3366.98</v>
      </c>
      <c r="T155" s="87">
        <v>4</v>
      </c>
      <c r="U155" s="84">
        <f t="shared" si="49"/>
        <v>6000</v>
      </c>
      <c r="V155" s="85">
        <v>4</v>
      </c>
      <c r="W155" s="86">
        <f t="shared" si="50"/>
        <v>6000</v>
      </c>
      <c r="X155" s="88">
        <f t="shared" si="43"/>
        <v>18000</v>
      </c>
      <c r="Y155" s="89" t="s">
        <v>733</v>
      </c>
      <c r="Z155" s="118" t="s">
        <v>518</v>
      </c>
      <c r="AA155" s="95" t="s">
        <v>519</v>
      </c>
      <c r="AB155" s="95" t="s">
        <v>519</v>
      </c>
      <c r="AC155" s="95" t="s">
        <v>520</v>
      </c>
      <c r="AD155" s="95" t="s">
        <v>587</v>
      </c>
      <c r="AE155" s="63" t="s">
        <v>520</v>
      </c>
    </row>
    <row r="156" spans="1:31" ht="33.75" customHeight="1">
      <c r="A156" s="63" t="s">
        <v>503</v>
      </c>
      <c r="B156" s="95" t="s">
        <v>26</v>
      </c>
      <c r="C156" s="95" t="s">
        <v>58</v>
      </c>
      <c r="D156" s="276" t="s">
        <v>971</v>
      </c>
      <c r="E156" s="83" t="s">
        <v>734</v>
      </c>
      <c r="F156" s="123">
        <v>2.6666666666666665</v>
      </c>
      <c r="G156" s="92">
        <v>800</v>
      </c>
      <c r="H156" s="92" t="s">
        <v>90</v>
      </c>
      <c r="I156" s="99">
        <f t="shared" si="51"/>
        <v>2133.333333333333</v>
      </c>
      <c r="J156" s="93">
        <v>10</v>
      </c>
      <c r="K156" s="86">
        <f t="shared" si="52"/>
        <v>21333.33333333333</v>
      </c>
      <c r="L156" s="155">
        <f>K156/4</f>
        <v>5333.333333333332</v>
      </c>
      <c r="M156" s="291">
        <v>0</v>
      </c>
      <c r="N156" s="155">
        <f>K156/4</f>
        <v>5333.333333333332</v>
      </c>
      <c r="O156" s="291">
        <v>0</v>
      </c>
      <c r="P156" s="155">
        <f>K156/4</f>
        <v>5333.333333333332</v>
      </c>
      <c r="Q156" s="291">
        <v>0</v>
      </c>
      <c r="R156" s="155">
        <f>K156/4</f>
        <v>5333.333333333332</v>
      </c>
      <c r="S156" s="291">
        <f>SUMIF(Hoja1!B:B,'Budget YR2-4 DC+Hm'!D:D,Hoja1!G:G)</f>
        <v>0</v>
      </c>
      <c r="T156" s="94">
        <v>12</v>
      </c>
      <c r="U156" s="84">
        <f t="shared" si="49"/>
        <v>25599.999999999996</v>
      </c>
      <c r="V156" s="93">
        <v>12</v>
      </c>
      <c r="W156" s="86">
        <f t="shared" si="50"/>
        <v>25599.999999999996</v>
      </c>
      <c r="X156" s="88">
        <f t="shared" si="43"/>
        <v>72533.33333333333</v>
      </c>
      <c r="Y156" s="99" t="s">
        <v>735</v>
      </c>
      <c r="Z156" s="118">
        <v>3</v>
      </c>
      <c r="AA156" s="63" t="s">
        <v>683</v>
      </c>
      <c r="AB156" s="63" t="s">
        <v>519</v>
      </c>
      <c r="AC156" s="63" t="s">
        <v>546</v>
      </c>
      <c r="AD156" s="63" t="s">
        <v>521</v>
      </c>
      <c r="AE156" s="63" t="s">
        <v>522</v>
      </c>
    </row>
    <row r="157" spans="1:31" ht="33.75" customHeight="1">
      <c r="A157" s="63" t="s">
        <v>503</v>
      </c>
      <c r="B157" s="95" t="s">
        <v>26</v>
      </c>
      <c r="C157" s="95" t="s">
        <v>58</v>
      </c>
      <c r="D157" s="276" t="s">
        <v>972</v>
      </c>
      <c r="E157" s="83" t="s">
        <v>736</v>
      </c>
      <c r="F157" s="123">
        <v>2.6666666666666665</v>
      </c>
      <c r="G157" s="92">
        <v>800</v>
      </c>
      <c r="H157" s="92" t="s">
        <v>90</v>
      </c>
      <c r="I157" s="99">
        <f t="shared" si="51"/>
        <v>2133.333333333333</v>
      </c>
      <c r="J157" s="93">
        <v>10</v>
      </c>
      <c r="K157" s="86">
        <f t="shared" si="52"/>
        <v>21333.33333333333</v>
      </c>
      <c r="L157" s="155">
        <f>K157/4</f>
        <v>5333.333333333332</v>
      </c>
      <c r="M157" s="291">
        <v>0</v>
      </c>
      <c r="N157" s="155">
        <f>K157/4</f>
        <v>5333.333333333332</v>
      </c>
      <c r="O157" s="291">
        <v>658.91</v>
      </c>
      <c r="P157" s="155">
        <f>K157/4</f>
        <v>5333.333333333332</v>
      </c>
      <c r="Q157" s="291">
        <v>584.77</v>
      </c>
      <c r="R157" s="155">
        <f>K157/4</f>
        <v>5333.333333333332</v>
      </c>
      <c r="S157" s="291">
        <f>SUMIF(Hoja1!B:B,'Budget YR2-4 DC+Hm'!D:D,Hoja1!G:G)</f>
        <v>1992.24</v>
      </c>
      <c r="T157" s="94">
        <v>12</v>
      </c>
      <c r="U157" s="84">
        <f t="shared" si="49"/>
        <v>25599.999999999996</v>
      </c>
      <c r="V157" s="93">
        <v>12</v>
      </c>
      <c r="W157" s="86">
        <f t="shared" si="50"/>
        <v>25599.999999999996</v>
      </c>
      <c r="X157" s="88">
        <f t="shared" si="43"/>
        <v>72533.33333333333</v>
      </c>
      <c r="Y157" s="99" t="s">
        <v>735</v>
      </c>
      <c r="Z157" s="118">
        <v>3</v>
      </c>
      <c r="AA157" s="63" t="s">
        <v>683</v>
      </c>
      <c r="AB157" s="63" t="s">
        <v>519</v>
      </c>
      <c r="AC157" s="63" t="s">
        <v>546</v>
      </c>
      <c r="AD157" s="63" t="s">
        <v>521</v>
      </c>
      <c r="AE157" s="63" t="s">
        <v>524</v>
      </c>
    </row>
    <row r="158" spans="1:31" ht="33.75" customHeight="1">
      <c r="A158" s="63" t="s">
        <v>503</v>
      </c>
      <c r="B158" s="95" t="s">
        <v>26</v>
      </c>
      <c r="C158" s="95" t="s">
        <v>58</v>
      </c>
      <c r="D158" s="276" t="s">
        <v>973</v>
      </c>
      <c r="E158" s="83" t="s">
        <v>737</v>
      </c>
      <c r="F158" s="123">
        <v>2.6666666666666665</v>
      </c>
      <c r="G158" s="92">
        <v>800</v>
      </c>
      <c r="H158" s="92" t="s">
        <v>90</v>
      </c>
      <c r="I158" s="99">
        <f t="shared" si="51"/>
        <v>2133.333333333333</v>
      </c>
      <c r="J158" s="93">
        <v>10</v>
      </c>
      <c r="K158" s="86">
        <f t="shared" si="52"/>
        <v>21333.33333333333</v>
      </c>
      <c r="L158" s="155">
        <f>K158/4</f>
        <v>5333.333333333332</v>
      </c>
      <c r="M158" s="291">
        <v>732</v>
      </c>
      <c r="N158" s="155">
        <f>K158/4</f>
        <v>5333.333333333332</v>
      </c>
      <c r="O158" s="291">
        <v>732</v>
      </c>
      <c r="P158" s="155">
        <f>K158/4</f>
        <v>5333.333333333332</v>
      </c>
      <c r="Q158" s="291">
        <v>0</v>
      </c>
      <c r="R158" s="155">
        <f>K158/4</f>
        <v>5333.333333333332</v>
      </c>
      <c r="S158" s="291">
        <f>SUMIF(Hoja1!B:B,'Budget YR2-4 DC+Hm'!D:D,Hoja1!G:G)</f>
        <v>0</v>
      </c>
      <c r="T158" s="94">
        <v>12</v>
      </c>
      <c r="U158" s="84">
        <f t="shared" si="49"/>
        <v>25599.999999999996</v>
      </c>
      <c r="V158" s="93">
        <v>12</v>
      </c>
      <c r="W158" s="86">
        <f t="shared" si="50"/>
        <v>25599.999999999996</v>
      </c>
      <c r="X158" s="88">
        <f t="shared" si="43"/>
        <v>72533.33333333333</v>
      </c>
      <c r="Y158" s="99" t="s">
        <v>735</v>
      </c>
      <c r="Z158" s="118">
        <v>3</v>
      </c>
      <c r="AA158" s="63" t="s">
        <v>683</v>
      </c>
      <c r="AB158" s="63" t="s">
        <v>519</v>
      </c>
      <c r="AC158" s="63" t="s">
        <v>546</v>
      </c>
      <c r="AD158" s="63" t="s">
        <v>521</v>
      </c>
      <c r="AE158" s="63" t="s">
        <v>526</v>
      </c>
    </row>
    <row r="159" spans="1:26" ht="31.5" customHeight="1">
      <c r="A159" s="63" t="s">
        <v>503</v>
      </c>
      <c r="B159" s="95"/>
      <c r="C159" s="95"/>
      <c r="D159" s="95"/>
      <c r="E159" s="302" t="s">
        <v>738</v>
      </c>
      <c r="F159" s="111"/>
      <c r="G159" s="111"/>
      <c r="H159" s="111"/>
      <c r="I159" s="111"/>
      <c r="J159" s="113"/>
      <c r="K159" s="114"/>
      <c r="L159" s="70"/>
      <c r="M159" s="292"/>
      <c r="N159" s="70"/>
      <c r="O159" s="292"/>
      <c r="P159" s="70"/>
      <c r="Q159" s="291"/>
      <c r="R159" s="70"/>
      <c r="S159" s="292"/>
      <c r="T159" s="111"/>
      <c r="U159" s="112"/>
      <c r="V159" s="113"/>
      <c r="W159" s="114"/>
      <c r="X159" s="88">
        <f t="shared" si="43"/>
        <v>0</v>
      </c>
      <c r="Y159" s="82"/>
      <c r="Z159" s="82"/>
    </row>
    <row r="160" spans="1:31" ht="21.75">
      <c r="A160" s="277" t="s">
        <v>503</v>
      </c>
      <c r="B160" s="95" t="s">
        <v>26</v>
      </c>
      <c r="C160" s="95" t="s">
        <v>59</v>
      </c>
      <c r="D160" s="276" t="s">
        <v>1002</v>
      </c>
      <c r="E160" s="83" t="s">
        <v>739</v>
      </c>
      <c r="F160" s="43">
        <v>5.715</v>
      </c>
      <c r="G160" s="47">
        <v>22</v>
      </c>
      <c r="H160" s="47" t="s">
        <v>384</v>
      </c>
      <c r="I160" s="99">
        <f aca="true" t="shared" si="53" ref="I160:I165">F160*G160</f>
        <v>125.72999999999999</v>
      </c>
      <c r="J160" s="85">
        <v>360</v>
      </c>
      <c r="K160" s="86">
        <f>J160*I160+'Budget YR1 DC'!O89-8925</f>
        <v>39110.299999999996</v>
      </c>
      <c r="L160" s="155">
        <f>K160/4</f>
        <v>9777.574999999999</v>
      </c>
      <c r="M160" s="291">
        <v>2199</v>
      </c>
      <c r="N160" s="155">
        <f>K160/4</f>
        <v>9777.574999999999</v>
      </c>
      <c r="O160" s="291">
        <v>4807.280000000001</v>
      </c>
      <c r="P160" s="155">
        <f>K160/4</f>
        <v>9777.574999999999</v>
      </c>
      <c r="Q160" s="291">
        <v>10934.95</v>
      </c>
      <c r="R160" s="155">
        <f>K160/4</f>
        <v>9777.574999999999</v>
      </c>
      <c r="S160" s="400">
        <f>Hoja1!G68+Hoja1!G134+Hoja1!G181</f>
        <v>5754.200000000001</v>
      </c>
      <c r="T160" s="87">
        <v>360</v>
      </c>
      <c r="U160" s="84">
        <f aca="true" t="shared" si="54" ref="U160:U165">T160*I160</f>
        <v>45262.799999999996</v>
      </c>
      <c r="V160" s="85">
        <v>360</v>
      </c>
      <c r="W160" s="86">
        <f aca="true" t="shared" si="55" ref="W160:W165">V160*I160</f>
        <v>45262.799999999996</v>
      </c>
      <c r="X160" s="88">
        <f t="shared" si="43"/>
        <v>129635.9</v>
      </c>
      <c r="Y160" s="89" t="s">
        <v>740</v>
      </c>
      <c r="Z160" s="65" t="s">
        <v>670</v>
      </c>
      <c r="AA160" s="63" t="s">
        <v>519</v>
      </c>
      <c r="AB160" s="63" t="s">
        <v>519</v>
      </c>
      <c r="AC160" s="63" t="s">
        <v>520</v>
      </c>
      <c r="AD160" s="63" t="s">
        <v>521</v>
      </c>
      <c r="AE160" s="63" t="s">
        <v>520</v>
      </c>
    </row>
    <row r="161" spans="1:31" ht="21.75">
      <c r="A161" s="63" t="s">
        <v>503</v>
      </c>
      <c r="B161" s="95" t="s">
        <v>26</v>
      </c>
      <c r="C161" s="95" t="s">
        <v>59</v>
      </c>
      <c r="D161" s="276" t="s">
        <v>998</v>
      </c>
      <c r="E161" s="83" t="s">
        <v>387</v>
      </c>
      <c r="F161" s="43">
        <v>1</v>
      </c>
      <c r="G161" s="47">
        <v>50</v>
      </c>
      <c r="H161" s="47" t="s">
        <v>384</v>
      </c>
      <c r="I161" s="99">
        <f t="shared" si="53"/>
        <v>50</v>
      </c>
      <c r="J161" s="85">
        <v>10</v>
      </c>
      <c r="K161" s="86">
        <f>J161*I161+'Budget YR1 DC'!O90</f>
        <v>750</v>
      </c>
      <c r="L161" s="155"/>
      <c r="M161" s="291">
        <v>100</v>
      </c>
      <c r="N161" s="155">
        <v>375</v>
      </c>
      <c r="O161" s="291">
        <v>187.91</v>
      </c>
      <c r="P161" s="155">
        <v>375</v>
      </c>
      <c r="Q161" s="291">
        <v>309.98</v>
      </c>
      <c r="R161" s="155"/>
      <c r="S161" s="400">
        <f>SUMIF(Hoja1!B:B,'Budget YR2-4 DC+Hm'!D:D,Hoja1!G:G)</f>
        <v>0</v>
      </c>
      <c r="T161" s="87">
        <v>10</v>
      </c>
      <c r="U161" s="84">
        <f t="shared" si="54"/>
        <v>500</v>
      </c>
      <c r="V161" s="85">
        <v>10</v>
      </c>
      <c r="W161" s="86">
        <f t="shared" si="55"/>
        <v>500</v>
      </c>
      <c r="X161" s="88">
        <f t="shared" si="43"/>
        <v>1750</v>
      </c>
      <c r="Y161" s="89" t="s">
        <v>740</v>
      </c>
      <c r="Z161" s="65" t="s">
        <v>670</v>
      </c>
      <c r="AA161" s="63" t="s">
        <v>519</v>
      </c>
      <c r="AB161" s="63" t="s">
        <v>519</v>
      </c>
      <c r="AC161" s="63" t="s">
        <v>520</v>
      </c>
      <c r="AD161" s="63" t="s">
        <v>521</v>
      </c>
      <c r="AE161" s="63" t="s">
        <v>520</v>
      </c>
    </row>
    <row r="162" spans="1:31" s="95" customFormat="1" ht="26.25" customHeight="1">
      <c r="A162" s="63" t="s">
        <v>503</v>
      </c>
      <c r="B162" s="95" t="s">
        <v>26</v>
      </c>
      <c r="C162" s="95" t="s">
        <v>59</v>
      </c>
      <c r="D162" s="276" t="s">
        <v>993</v>
      </c>
      <c r="E162" s="83" t="s">
        <v>390</v>
      </c>
      <c r="F162" s="43">
        <v>6</v>
      </c>
      <c r="G162" s="49">
        <v>100</v>
      </c>
      <c r="H162" s="49" t="s">
        <v>90</v>
      </c>
      <c r="I162" s="99">
        <f t="shared" si="53"/>
        <v>600</v>
      </c>
      <c r="J162" s="116">
        <v>10</v>
      </c>
      <c r="K162" s="86">
        <f>J162*I162+'Budget YR1 DC'!O91</f>
        <v>6911.09</v>
      </c>
      <c r="L162" s="155">
        <f>K162/4</f>
        <v>1727.7725</v>
      </c>
      <c r="M162" s="291">
        <v>459.14000000000004</v>
      </c>
      <c r="N162" s="155">
        <f>K162/4</f>
        <v>1727.7725</v>
      </c>
      <c r="O162" s="291">
        <v>2393.8</v>
      </c>
      <c r="P162" s="155">
        <f>K162/4</f>
        <v>1727.7725</v>
      </c>
      <c r="Q162" s="291">
        <v>636.5899999999999</v>
      </c>
      <c r="R162" s="155">
        <f>K162/4</f>
        <v>1727.7725</v>
      </c>
      <c r="S162" s="400">
        <f>SUMIF(Hoja1!B:B,'Budget YR2-4 DC+Hm'!D:D,Hoja1!G:G)</f>
        <v>558.9</v>
      </c>
      <c r="T162" s="117">
        <v>12</v>
      </c>
      <c r="U162" s="84">
        <f t="shared" si="54"/>
        <v>7200</v>
      </c>
      <c r="V162" s="116">
        <v>12</v>
      </c>
      <c r="W162" s="86">
        <f t="shared" si="55"/>
        <v>7200</v>
      </c>
      <c r="X162" s="88">
        <f t="shared" si="43"/>
        <v>21311.09</v>
      </c>
      <c r="Y162" s="99" t="s">
        <v>741</v>
      </c>
      <c r="Z162" s="65" t="s">
        <v>670</v>
      </c>
      <c r="AA162" s="63" t="s">
        <v>519</v>
      </c>
      <c r="AB162" s="63" t="s">
        <v>519</v>
      </c>
      <c r="AC162" s="63" t="s">
        <v>520</v>
      </c>
      <c r="AD162" s="63" t="s">
        <v>521</v>
      </c>
      <c r="AE162" s="95" t="s">
        <v>520</v>
      </c>
    </row>
    <row r="163" spans="1:31" ht="22.5" customHeight="1">
      <c r="A163" s="63" t="s">
        <v>503</v>
      </c>
      <c r="B163" s="95" t="s">
        <v>26</v>
      </c>
      <c r="C163" s="95" t="s">
        <v>59</v>
      </c>
      <c r="D163" s="276" t="s">
        <v>994</v>
      </c>
      <c r="E163" s="83" t="s">
        <v>393</v>
      </c>
      <c r="F163" s="43">
        <v>6</v>
      </c>
      <c r="G163" s="47">
        <v>600</v>
      </c>
      <c r="H163" s="47" t="s">
        <v>394</v>
      </c>
      <c r="I163" s="99">
        <f t="shared" si="53"/>
        <v>3600</v>
      </c>
      <c r="J163" s="85">
        <v>1</v>
      </c>
      <c r="K163" s="86">
        <f>J163*I163+'Budget YR1 DC'!O92</f>
        <v>4146.52</v>
      </c>
      <c r="L163" s="155">
        <v>4147</v>
      </c>
      <c r="M163" s="291">
        <v>2358.37</v>
      </c>
      <c r="N163" s="155"/>
      <c r="O163" s="291">
        <v>418.82000000000005</v>
      </c>
      <c r="P163" s="155"/>
      <c r="Q163" s="291">
        <v>3310.3900000000003</v>
      </c>
      <c r="R163" s="155"/>
      <c r="S163" s="400">
        <f>SUMIF(Hoja1!B:B,'Budget YR2-4 DC+Hm'!D:D,Hoja1!G:G)</f>
        <v>1803.4499999999998</v>
      </c>
      <c r="T163" s="87">
        <v>1</v>
      </c>
      <c r="U163" s="84">
        <f t="shared" si="54"/>
        <v>3600</v>
      </c>
      <c r="V163" s="85">
        <v>1</v>
      </c>
      <c r="W163" s="86">
        <f t="shared" si="55"/>
        <v>3600</v>
      </c>
      <c r="X163" s="88">
        <f t="shared" si="43"/>
        <v>11346.52</v>
      </c>
      <c r="Y163" s="89" t="s">
        <v>740</v>
      </c>
      <c r="Z163" s="65" t="s">
        <v>670</v>
      </c>
      <c r="AA163" s="63" t="s">
        <v>519</v>
      </c>
      <c r="AB163" s="63" t="s">
        <v>519</v>
      </c>
      <c r="AC163" s="63" t="s">
        <v>520</v>
      </c>
      <c r="AD163" s="63" t="s">
        <v>521</v>
      </c>
      <c r="AE163" s="63" t="s">
        <v>520</v>
      </c>
    </row>
    <row r="164" spans="1:31" ht="22.5" customHeight="1">
      <c r="A164" s="63" t="s">
        <v>503</v>
      </c>
      <c r="B164" s="95" t="s">
        <v>26</v>
      </c>
      <c r="C164" s="95" t="s">
        <v>59</v>
      </c>
      <c r="D164" s="276" t="s">
        <v>995</v>
      </c>
      <c r="E164" s="83" t="s">
        <v>397</v>
      </c>
      <c r="F164" s="43">
        <v>6</v>
      </c>
      <c r="G164" s="47">
        <v>300</v>
      </c>
      <c r="H164" s="47" t="s">
        <v>97</v>
      </c>
      <c r="I164" s="99">
        <f t="shared" si="53"/>
        <v>1800</v>
      </c>
      <c r="J164" s="85">
        <v>1</v>
      </c>
      <c r="K164" s="86">
        <f>J164*I164+'Budget YR1 DC'!O93</f>
        <v>2400</v>
      </c>
      <c r="L164" s="155"/>
      <c r="M164" s="291">
        <v>0</v>
      </c>
      <c r="N164" s="155"/>
      <c r="O164" s="291">
        <v>0</v>
      </c>
      <c r="P164" s="155"/>
      <c r="Q164" s="291">
        <v>0</v>
      </c>
      <c r="R164" s="155">
        <v>2400</v>
      </c>
      <c r="S164" s="400">
        <f>SUMIF(Hoja1!B:B,'Budget YR2-4 DC+Hm'!D:D,Hoja1!G:G)</f>
        <v>0</v>
      </c>
      <c r="T164" s="87">
        <v>1</v>
      </c>
      <c r="U164" s="84">
        <f t="shared" si="54"/>
        <v>1800</v>
      </c>
      <c r="V164" s="85">
        <v>1</v>
      </c>
      <c r="W164" s="86">
        <f t="shared" si="55"/>
        <v>1800</v>
      </c>
      <c r="X164" s="88">
        <f t="shared" si="43"/>
        <v>6000</v>
      </c>
      <c r="Y164" s="89" t="s">
        <v>742</v>
      </c>
      <c r="Z164" s="65" t="s">
        <v>670</v>
      </c>
      <c r="AA164" s="63" t="s">
        <v>519</v>
      </c>
      <c r="AB164" s="63" t="s">
        <v>519</v>
      </c>
      <c r="AC164" s="63" t="s">
        <v>520</v>
      </c>
      <c r="AD164" s="63" t="s">
        <v>521</v>
      </c>
      <c r="AE164" s="63" t="s">
        <v>520</v>
      </c>
    </row>
    <row r="165" spans="1:31" ht="22.5" customHeight="1">
      <c r="A165" s="63" t="s">
        <v>503</v>
      </c>
      <c r="B165" s="95" t="s">
        <v>26</v>
      </c>
      <c r="C165" s="95" t="s">
        <v>59</v>
      </c>
      <c r="D165" s="276" t="s">
        <v>996</v>
      </c>
      <c r="E165" s="83" t="s">
        <v>400</v>
      </c>
      <c r="F165" s="43">
        <v>6</v>
      </c>
      <c r="G165" s="47">
        <v>25</v>
      </c>
      <c r="H165" s="47" t="s">
        <v>90</v>
      </c>
      <c r="I165" s="99">
        <f t="shared" si="53"/>
        <v>150</v>
      </c>
      <c r="J165" s="85">
        <v>12</v>
      </c>
      <c r="K165" s="86">
        <f>J165*I165+'Budget YR1 DC'!O94</f>
        <v>2400</v>
      </c>
      <c r="L165" s="155">
        <v>2400</v>
      </c>
      <c r="M165" s="291">
        <v>488.62</v>
      </c>
      <c r="N165" s="155"/>
      <c r="O165" s="291">
        <v>0</v>
      </c>
      <c r="P165" s="155"/>
      <c r="Q165" s="291">
        <v>19.42</v>
      </c>
      <c r="R165" s="155"/>
      <c r="S165" s="400">
        <f>SUMIF(Hoja1!B:B,'Budget YR2-4 DC+Hm'!D:D,Hoja1!G:G)</f>
        <v>0</v>
      </c>
      <c r="T165" s="87">
        <v>12</v>
      </c>
      <c r="U165" s="84">
        <f t="shared" si="54"/>
        <v>1800</v>
      </c>
      <c r="V165" s="85">
        <v>12</v>
      </c>
      <c r="W165" s="86">
        <f t="shared" si="55"/>
        <v>1800</v>
      </c>
      <c r="X165" s="88">
        <f t="shared" si="43"/>
        <v>6000</v>
      </c>
      <c r="Y165" s="89" t="s">
        <v>740</v>
      </c>
      <c r="Z165" s="65" t="s">
        <v>670</v>
      </c>
      <c r="AA165" s="63" t="s">
        <v>519</v>
      </c>
      <c r="AB165" s="63" t="s">
        <v>519</v>
      </c>
      <c r="AC165" s="63" t="s">
        <v>520</v>
      </c>
      <c r="AD165" s="63" t="s">
        <v>521</v>
      </c>
      <c r="AE165" s="63" t="s">
        <v>520</v>
      </c>
    </row>
    <row r="166" spans="1:26" ht="22.5" customHeight="1">
      <c r="A166" s="63" t="s">
        <v>503</v>
      </c>
      <c r="B166" s="95"/>
      <c r="C166" s="95"/>
      <c r="D166" s="95"/>
      <c r="E166" s="302" t="s">
        <v>743</v>
      </c>
      <c r="F166" s="111"/>
      <c r="G166" s="111"/>
      <c r="H166" s="111"/>
      <c r="I166" s="111"/>
      <c r="J166" s="113"/>
      <c r="K166" s="114"/>
      <c r="L166" s="70"/>
      <c r="M166" s="292">
        <v>0</v>
      </c>
      <c r="N166" s="70"/>
      <c r="O166" s="292">
        <v>0</v>
      </c>
      <c r="P166" s="70"/>
      <c r="Q166" s="291">
        <v>0</v>
      </c>
      <c r="R166" s="70"/>
      <c r="S166" s="292"/>
      <c r="T166" s="111"/>
      <c r="U166" s="112"/>
      <c r="V166" s="113"/>
      <c r="W166" s="114"/>
      <c r="X166" s="88">
        <f t="shared" si="43"/>
        <v>0</v>
      </c>
      <c r="Y166" s="82"/>
      <c r="Z166" s="82"/>
    </row>
    <row r="167" spans="1:31" ht="21.75">
      <c r="A167" s="277" t="s">
        <v>503</v>
      </c>
      <c r="B167" s="95" t="s">
        <v>34</v>
      </c>
      <c r="C167" s="95" t="s">
        <v>59</v>
      </c>
      <c r="D167" s="95" t="s">
        <v>1037</v>
      </c>
      <c r="E167" s="83" t="s">
        <v>744</v>
      </c>
      <c r="F167" s="43">
        <v>3</v>
      </c>
      <c r="G167" s="47">
        <v>75</v>
      </c>
      <c r="H167" s="47" t="s">
        <v>90</v>
      </c>
      <c r="I167" s="99">
        <f aca="true" t="shared" si="56" ref="I167:I174">F167*G167</f>
        <v>225</v>
      </c>
      <c r="J167" s="85">
        <v>12</v>
      </c>
      <c r="K167" s="86">
        <f>J167*I167+'Budget YR1 DC'!O103+'Budget YR1 DC'!O104</f>
        <v>4045.2299999999996</v>
      </c>
      <c r="L167" s="155">
        <f>K167/4</f>
        <v>1011.3074999999999</v>
      </c>
      <c r="M167" s="291">
        <v>1190.2899999999997</v>
      </c>
      <c r="N167" s="155">
        <f>K167/4</f>
        <v>1011.3074999999999</v>
      </c>
      <c r="O167" s="291">
        <v>310.1799999999999</v>
      </c>
      <c r="P167" s="155">
        <f>K167/4</f>
        <v>1011.3074999999999</v>
      </c>
      <c r="Q167" s="291">
        <v>215.9</v>
      </c>
      <c r="R167" s="155">
        <f>K167/4</f>
        <v>1011.3074999999999</v>
      </c>
      <c r="S167" s="400">
        <f>Hoja1!G74+Hoja1!G135+Hoja1!G182</f>
        <v>266.66</v>
      </c>
      <c r="T167" s="87">
        <v>12</v>
      </c>
      <c r="U167" s="84">
        <f>T167*I167</f>
        <v>2700</v>
      </c>
      <c r="V167" s="85">
        <v>12</v>
      </c>
      <c r="W167" s="86">
        <f>V167*I167</f>
        <v>2700</v>
      </c>
      <c r="X167" s="88">
        <f t="shared" si="43"/>
        <v>9445.23</v>
      </c>
      <c r="Y167" s="89" t="s">
        <v>745</v>
      </c>
      <c r="Z167" s="65" t="s">
        <v>670</v>
      </c>
      <c r="AA167" s="63" t="s">
        <v>519</v>
      </c>
      <c r="AB167" s="63" t="s">
        <v>519</v>
      </c>
      <c r="AC167" s="63" t="s">
        <v>520</v>
      </c>
      <c r="AD167" s="63" t="s">
        <v>694</v>
      </c>
      <c r="AE167" s="63" t="s">
        <v>520</v>
      </c>
    </row>
    <row r="168" spans="1:31" ht="21.75">
      <c r="A168" s="63" t="s">
        <v>503</v>
      </c>
      <c r="B168" s="95" t="s">
        <v>34</v>
      </c>
      <c r="C168" s="95" t="s">
        <v>59</v>
      </c>
      <c r="D168" s="95" t="s">
        <v>1038</v>
      </c>
      <c r="E168" s="83" t="s">
        <v>103</v>
      </c>
      <c r="F168" s="43">
        <v>1</v>
      </c>
      <c r="G168" s="47">
        <v>4000</v>
      </c>
      <c r="H168" s="47" t="s">
        <v>97</v>
      </c>
      <c r="I168" s="99">
        <f t="shared" si="56"/>
        <v>4000</v>
      </c>
      <c r="J168" s="85">
        <v>1</v>
      </c>
      <c r="K168" s="86">
        <f>J168*I168+'Budget YR1 DC'!O99</f>
        <v>8000</v>
      </c>
      <c r="L168" s="155"/>
      <c r="M168" s="291">
        <v>0</v>
      </c>
      <c r="N168" s="155">
        <v>8000</v>
      </c>
      <c r="O168" s="291">
        <v>0</v>
      </c>
      <c r="P168" s="155"/>
      <c r="Q168" s="291">
        <v>0</v>
      </c>
      <c r="R168" s="155"/>
      <c r="S168" s="400">
        <f>SUMIF(Hoja1!B:B,'Budget YR2-4 DC+Hm'!D:D,Hoja1!G:G)</f>
        <v>0</v>
      </c>
      <c r="T168" s="87">
        <v>1</v>
      </c>
      <c r="U168" s="84">
        <f>T168*I168</f>
        <v>4000</v>
      </c>
      <c r="V168" s="85">
        <v>1</v>
      </c>
      <c r="W168" s="86">
        <f>V168*I168</f>
        <v>4000</v>
      </c>
      <c r="X168" s="88">
        <f t="shared" si="43"/>
        <v>16000</v>
      </c>
      <c r="Y168" s="89" t="s">
        <v>746</v>
      </c>
      <c r="Z168" s="65" t="s">
        <v>670</v>
      </c>
      <c r="AA168" s="63" t="s">
        <v>519</v>
      </c>
      <c r="AB168" s="63" t="s">
        <v>519</v>
      </c>
      <c r="AC168" s="63" t="s">
        <v>520</v>
      </c>
      <c r="AD168" s="63" t="s">
        <v>694</v>
      </c>
      <c r="AE168" s="63" t="s">
        <v>520</v>
      </c>
    </row>
    <row r="169" spans="1:31" s="95" customFormat="1" ht="21.75">
      <c r="A169" s="277" t="s">
        <v>503</v>
      </c>
      <c r="B169" s="95" t="s">
        <v>34</v>
      </c>
      <c r="C169" s="95" t="s">
        <v>59</v>
      </c>
      <c r="D169" s="95" t="s">
        <v>1039</v>
      </c>
      <c r="E169" s="83" t="s">
        <v>747</v>
      </c>
      <c r="F169" s="48">
        <v>2</v>
      </c>
      <c r="G169" s="49">
        <v>150</v>
      </c>
      <c r="H169" s="49" t="s">
        <v>90</v>
      </c>
      <c r="I169" s="99">
        <f t="shared" si="56"/>
        <v>300</v>
      </c>
      <c r="J169" s="116">
        <v>12</v>
      </c>
      <c r="K169" s="86">
        <f>J169*I169</f>
        <v>3600</v>
      </c>
      <c r="L169" s="155"/>
      <c r="M169" s="291">
        <v>0</v>
      </c>
      <c r="N169" s="155">
        <v>3600</v>
      </c>
      <c r="O169" s="291">
        <v>11592.529999999997</v>
      </c>
      <c r="P169" s="155"/>
      <c r="Q169" s="291">
        <v>8972.03</v>
      </c>
      <c r="R169" s="155"/>
      <c r="S169" s="400">
        <f>SUMIF(Hoja1!B:B,'Budget YR2-4 DC+Hm'!D:D,Hoja1!G:G)</f>
        <v>0</v>
      </c>
      <c r="T169" s="117">
        <v>12</v>
      </c>
      <c r="U169" s="84">
        <f>T169*I169</f>
        <v>3600</v>
      </c>
      <c r="V169" s="116">
        <v>12</v>
      </c>
      <c r="W169" s="86">
        <f>V169*I169</f>
        <v>3600</v>
      </c>
      <c r="X169" s="88">
        <f aca="true" t="shared" si="57" ref="X169:X200">K169+U169+W169</f>
        <v>10800</v>
      </c>
      <c r="Y169" s="99" t="s">
        <v>748</v>
      </c>
      <c r="Z169" s="65">
        <v>3</v>
      </c>
      <c r="AA169" s="63" t="s">
        <v>545</v>
      </c>
      <c r="AB169" s="63" t="s">
        <v>519</v>
      </c>
      <c r="AC169" s="63" t="s">
        <v>546</v>
      </c>
      <c r="AD169" s="95" t="s">
        <v>592</v>
      </c>
      <c r="AE169" s="95" t="s">
        <v>522</v>
      </c>
    </row>
    <row r="170" spans="1:31" s="95" customFormat="1" ht="21.75">
      <c r="A170" s="277" t="s">
        <v>503</v>
      </c>
      <c r="B170" s="95" t="s">
        <v>34</v>
      </c>
      <c r="C170" s="95" t="s">
        <v>59</v>
      </c>
      <c r="D170" s="95" t="s">
        <v>1040</v>
      </c>
      <c r="E170" s="83" t="s">
        <v>749</v>
      </c>
      <c r="F170" s="48">
        <v>2</v>
      </c>
      <c r="G170" s="49">
        <v>150</v>
      </c>
      <c r="H170" s="49" t="s">
        <v>90</v>
      </c>
      <c r="I170" s="99">
        <f t="shared" si="56"/>
        <v>300</v>
      </c>
      <c r="J170" s="116">
        <v>12</v>
      </c>
      <c r="K170" s="86">
        <f>J170*I170</f>
        <v>3600</v>
      </c>
      <c r="L170" s="155"/>
      <c r="M170" s="291">
        <v>0</v>
      </c>
      <c r="N170" s="155">
        <v>3600</v>
      </c>
      <c r="O170" s="291">
        <v>80.17999999999999</v>
      </c>
      <c r="P170" s="155"/>
      <c r="Q170" s="291">
        <v>262.82000000000005</v>
      </c>
      <c r="R170" s="155"/>
      <c r="S170" s="400">
        <f>SUMIF(Hoja1!B:B,'Budget YR2-4 DC+Hm'!D:D,Hoja1!G:G)</f>
        <v>0</v>
      </c>
      <c r="T170" s="117">
        <v>12</v>
      </c>
      <c r="U170" s="84">
        <f>T170*I170</f>
        <v>3600</v>
      </c>
      <c r="V170" s="116">
        <v>12</v>
      </c>
      <c r="W170" s="86">
        <f>V170*I170</f>
        <v>3600</v>
      </c>
      <c r="X170" s="88">
        <f t="shared" si="57"/>
        <v>10800</v>
      </c>
      <c r="Y170" s="99" t="s">
        <v>748</v>
      </c>
      <c r="Z170" s="65">
        <v>3</v>
      </c>
      <c r="AA170" s="63" t="s">
        <v>545</v>
      </c>
      <c r="AB170" s="63" t="s">
        <v>519</v>
      </c>
      <c r="AC170" s="63" t="s">
        <v>546</v>
      </c>
      <c r="AD170" s="95" t="s">
        <v>592</v>
      </c>
      <c r="AE170" s="95" t="s">
        <v>524</v>
      </c>
    </row>
    <row r="171" spans="1:31" s="95" customFormat="1" ht="21.75">
      <c r="A171" s="277" t="s">
        <v>503</v>
      </c>
      <c r="B171" s="95" t="s">
        <v>34</v>
      </c>
      <c r="C171" s="95" t="s">
        <v>59</v>
      </c>
      <c r="D171" s="95" t="s">
        <v>1041</v>
      </c>
      <c r="E171" s="83" t="s">
        <v>750</v>
      </c>
      <c r="F171" s="48">
        <v>2</v>
      </c>
      <c r="G171" s="49">
        <v>150</v>
      </c>
      <c r="H171" s="49" t="s">
        <v>90</v>
      </c>
      <c r="I171" s="99">
        <f t="shared" si="56"/>
        <v>300</v>
      </c>
      <c r="J171" s="116">
        <v>12</v>
      </c>
      <c r="K171" s="86">
        <f>J171*I171</f>
        <v>3600</v>
      </c>
      <c r="L171" s="155"/>
      <c r="M171" s="291">
        <v>0</v>
      </c>
      <c r="N171" s="155">
        <v>3600</v>
      </c>
      <c r="O171" s="291">
        <v>37.27</v>
      </c>
      <c r="P171" s="155"/>
      <c r="Q171" s="291">
        <v>840.48</v>
      </c>
      <c r="R171" s="155"/>
      <c r="S171" s="400">
        <f>SUMIF(Hoja1!B:B,'Budget YR2-4 DC+Hm'!D:D,Hoja1!G:G)</f>
        <v>16.6</v>
      </c>
      <c r="T171" s="117">
        <v>12</v>
      </c>
      <c r="U171" s="84">
        <f>T171*I171</f>
        <v>3600</v>
      </c>
      <c r="V171" s="116">
        <v>12</v>
      </c>
      <c r="W171" s="86">
        <f>V171*I171</f>
        <v>3600</v>
      </c>
      <c r="X171" s="88">
        <f t="shared" si="57"/>
        <v>10800</v>
      </c>
      <c r="Y171" s="99" t="s">
        <v>748</v>
      </c>
      <c r="Z171" s="65">
        <v>3</v>
      </c>
      <c r="AA171" s="63" t="s">
        <v>545</v>
      </c>
      <c r="AB171" s="63" t="s">
        <v>519</v>
      </c>
      <c r="AC171" s="63" t="s">
        <v>546</v>
      </c>
      <c r="AD171" s="95" t="s">
        <v>592</v>
      </c>
      <c r="AE171" s="95" t="s">
        <v>526</v>
      </c>
    </row>
    <row r="172" spans="1:31" ht="10.5">
      <c r="A172" s="63" t="s">
        <v>503</v>
      </c>
      <c r="B172" s="95" t="s">
        <v>28</v>
      </c>
      <c r="C172" s="95" t="s">
        <v>852</v>
      </c>
      <c r="D172" s="276" t="s">
        <v>946</v>
      </c>
      <c r="E172" s="83" t="s">
        <v>751</v>
      </c>
      <c r="F172" s="96">
        <v>1</v>
      </c>
      <c r="G172" s="47">
        <v>10000</v>
      </c>
      <c r="H172" s="47" t="s">
        <v>97</v>
      </c>
      <c r="I172" s="99">
        <f t="shared" si="56"/>
        <v>10000</v>
      </c>
      <c r="J172" s="124">
        <v>1</v>
      </c>
      <c r="K172" s="213">
        <f>7500</f>
        <v>7500</v>
      </c>
      <c r="L172" s="194">
        <f>K172/4</f>
        <v>1875</v>
      </c>
      <c r="M172" s="294">
        <v>5512.7300000000005</v>
      </c>
      <c r="N172" s="194">
        <f>K172/4</f>
        <v>1875</v>
      </c>
      <c r="O172" s="294">
        <v>91.06</v>
      </c>
      <c r="P172" s="194">
        <f>K172/4</f>
        <v>1875</v>
      </c>
      <c r="Q172" s="291">
        <v>10681.58</v>
      </c>
      <c r="R172" s="194">
        <f>K172/4</f>
        <v>1875</v>
      </c>
      <c r="S172" s="400">
        <f>SUMIF(Hoja1!B:B,'Budget YR2-4 DC+Hm'!D:D,Hoja1!G:G)</f>
        <v>0</v>
      </c>
      <c r="T172" s="125">
        <v>1</v>
      </c>
      <c r="U172" s="214">
        <v>6000</v>
      </c>
      <c r="V172" s="124">
        <v>1</v>
      </c>
      <c r="W172" s="213">
        <v>6000</v>
      </c>
      <c r="X172" s="88">
        <f t="shared" si="57"/>
        <v>19500</v>
      </c>
      <c r="Y172" s="89" t="s">
        <v>752</v>
      </c>
      <c r="Z172" s="65">
        <v>1</v>
      </c>
      <c r="AA172" s="63">
        <v>1</v>
      </c>
      <c r="AB172" s="63" t="s">
        <v>519</v>
      </c>
      <c r="AC172" s="63" t="s">
        <v>43</v>
      </c>
      <c r="AD172" s="63" t="s">
        <v>647</v>
      </c>
      <c r="AE172" s="95" t="s">
        <v>522</v>
      </c>
    </row>
    <row r="173" spans="1:31" ht="10.5">
      <c r="A173" s="63" t="s">
        <v>503</v>
      </c>
      <c r="B173" s="95" t="s">
        <v>28</v>
      </c>
      <c r="C173" s="95" t="s">
        <v>852</v>
      </c>
      <c r="D173" s="276" t="s">
        <v>947</v>
      </c>
      <c r="E173" s="83" t="s">
        <v>753</v>
      </c>
      <c r="F173" s="96">
        <v>1</v>
      </c>
      <c r="G173" s="47">
        <v>10000</v>
      </c>
      <c r="H173" s="47" t="s">
        <v>97</v>
      </c>
      <c r="I173" s="99">
        <f t="shared" si="56"/>
        <v>10000</v>
      </c>
      <c r="J173" s="124">
        <v>1</v>
      </c>
      <c r="K173" s="213">
        <v>7500</v>
      </c>
      <c r="L173" s="194">
        <v>1500</v>
      </c>
      <c r="M173" s="294">
        <v>0</v>
      </c>
      <c r="N173" s="194">
        <v>3500</v>
      </c>
      <c r="O173" s="294">
        <v>2240.88</v>
      </c>
      <c r="P173" s="194">
        <v>1500</v>
      </c>
      <c r="Q173" s="291">
        <v>0</v>
      </c>
      <c r="R173" s="194">
        <v>1000</v>
      </c>
      <c r="S173" s="400">
        <f>SUMIF(Hoja1!B:B,'Budget YR2-4 DC+Hm'!D:D,Hoja1!G:G)</f>
        <v>0</v>
      </c>
      <c r="T173" s="125">
        <v>1</v>
      </c>
      <c r="U173" s="214">
        <v>6000</v>
      </c>
      <c r="V173" s="124">
        <v>1</v>
      </c>
      <c r="W173" s="213">
        <v>6000</v>
      </c>
      <c r="X173" s="88">
        <f t="shared" si="57"/>
        <v>19500</v>
      </c>
      <c r="Y173" s="89" t="s">
        <v>752</v>
      </c>
      <c r="Z173" s="65">
        <v>1</v>
      </c>
      <c r="AA173" s="63">
        <v>1</v>
      </c>
      <c r="AB173" s="63" t="s">
        <v>519</v>
      </c>
      <c r="AC173" s="63" t="s">
        <v>43</v>
      </c>
      <c r="AD173" s="63" t="s">
        <v>647</v>
      </c>
      <c r="AE173" s="95" t="s">
        <v>524</v>
      </c>
    </row>
    <row r="174" spans="1:31" ht="10.5">
      <c r="A174" s="63" t="s">
        <v>503</v>
      </c>
      <c r="B174" s="95" t="s">
        <v>28</v>
      </c>
      <c r="C174" s="95" t="s">
        <v>852</v>
      </c>
      <c r="D174" s="276" t="s">
        <v>948</v>
      </c>
      <c r="E174" s="83" t="s">
        <v>754</v>
      </c>
      <c r="F174" s="96">
        <v>1</v>
      </c>
      <c r="G174" s="47">
        <v>10000</v>
      </c>
      <c r="H174" s="47" t="s">
        <v>97</v>
      </c>
      <c r="I174" s="99">
        <f t="shared" si="56"/>
        <v>10000</v>
      </c>
      <c r="J174" s="124">
        <v>1</v>
      </c>
      <c r="K174" s="213">
        <v>7500</v>
      </c>
      <c r="L174" s="194">
        <v>1500</v>
      </c>
      <c r="M174" s="294">
        <v>175.87</v>
      </c>
      <c r="N174" s="194">
        <v>3500</v>
      </c>
      <c r="O174" s="294">
        <v>2284.15</v>
      </c>
      <c r="P174" s="194">
        <v>1500</v>
      </c>
      <c r="Q174" s="291">
        <v>255.27</v>
      </c>
      <c r="R174" s="194">
        <v>1000</v>
      </c>
      <c r="S174" s="400">
        <f>SUMIF(Hoja1!B:B,'Budget YR2-4 DC+Hm'!D:D,Hoja1!G:G)</f>
        <v>0</v>
      </c>
      <c r="T174" s="125">
        <v>1</v>
      </c>
      <c r="U174" s="214">
        <v>6000</v>
      </c>
      <c r="V174" s="124">
        <v>1</v>
      </c>
      <c r="W174" s="213">
        <v>6000</v>
      </c>
      <c r="X174" s="88">
        <f t="shared" si="57"/>
        <v>19500</v>
      </c>
      <c r="Y174" s="89" t="s">
        <v>752</v>
      </c>
      <c r="Z174" s="65">
        <v>1</v>
      </c>
      <c r="AA174" s="63">
        <v>1</v>
      </c>
      <c r="AB174" s="63" t="s">
        <v>519</v>
      </c>
      <c r="AC174" s="63" t="s">
        <v>43</v>
      </c>
      <c r="AD174" s="63" t="s">
        <v>647</v>
      </c>
      <c r="AE174" s="95" t="s">
        <v>526</v>
      </c>
    </row>
    <row r="175" spans="1:26" s="95" customFormat="1" ht="28.5" customHeight="1">
      <c r="A175" s="95" t="s">
        <v>503</v>
      </c>
      <c r="E175" s="303" t="s">
        <v>755</v>
      </c>
      <c r="F175" s="70"/>
      <c r="G175" s="70"/>
      <c r="H175" s="70"/>
      <c r="I175" s="70"/>
      <c r="J175" s="397"/>
      <c r="K175" s="70"/>
      <c r="L175" s="70"/>
      <c r="M175" s="70"/>
      <c r="N175" s="70"/>
      <c r="O175" s="70"/>
      <c r="P175" s="70"/>
      <c r="Q175" s="155"/>
      <c r="R175" s="70"/>
      <c r="S175" s="70"/>
      <c r="T175" s="70"/>
      <c r="U175" s="70"/>
      <c r="V175" s="397"/>
      <c r="W175" s="398"/>
      <c r="X175" s="399">
        <f t="shared" si="57"/>
        <v>0</v>
      </c>
      <c r="Y175" s="118"/>
      <c r="Z175" s="118"/>
    </row>
    <row r="176" spans="1:31" ht="10.5">
      <c r="A176" s="63" t="s">
        <v>503</v>
      </c>
      <c r="B176" s="95" t="s">
        <v>26</v>
      </c>
      <c r="C176" s="95" t="s">
        <v>856</v>
      </c>
      <c r="D176" s="276" t="s">
        <v>983</v>
      </c>
      <c r="E176" s="83" t="s">
        <v>756</v>
      </c>
      <c r="F176" s="43">
        <v>1</v>
      </c>
      <c r="G176" s="47">
        <v>3000</v>
      </c>
      <c r="H176" s="47" t="s">
        <v>90</v>
      </c>
      <c r="I176" s="99">
        <f>F176*G176</f>
        <v>3000</v>
      </c>
      <c r="J176" s="85"/>
      <c r="K176" s="86">
        <v>4000</v>
      </c>
      <c r="L176" s="155">
        <v>4000</v>
      </c>
      <c r="M176" s="291">
        <v>9837.17</v>
      </c>
      <c r="N176" s="155"/>
      <c r="O176" s="291">
        <v>0</v>
      </c>
      <c r="P176" s="155"/>
      <c r="Q176" s="291">
        <v>0</v>
      </c>
      <c r="R176" s="155"/>
      <c r="S176" s="400">
        <f>SUMIF(Hoja1!B:B,'Budget YR2-4 DC+Hm'!D:D,Hoja1!G:G)</f>
        <v>0</v>
      </c>
      <c r="T176" s="87"/>
      <c r="U176" s="84">
        <f aca="true" t="shared" si="58" ref="U176:U200">T176*I176</f>
        <v>0</v>
      </c>
      <c r="V176" s="85">
        <v>4</v>
      </c>
      <c r="W176" s="86">
        <f aca="true" t="shared" si="59" ref="W176:W188">V176*I176</f>
        <v>12000</v>
      </c>
      <c r="X176" s="88">
        <f t="shared" si="57"/>
        <v>16000</v>
      </c>
      <c r="Y176" s="89"/>
      <c r="Z176" s="65"/>
      <c r="AC176" s="63" t="s">
        <v>45</v>
      </c>
      <c r="AD176" s="63" t="s">
        <v>647</v>
      </c>
      <c r="AE176" s="63" t="s">
        <v>45</v>
      </c>
    </row>
    <row r="177" spans="1:31" ht="20.25" customHeight="1">
      <c r="A177" s="63" t="s">
        <v>503</v>
      </c>
      <c r="B177" s="95" t="s">
        <v>26</v>
      </c>
      <c r="C177" s="95" t="s">
        <v>856</v>
      </c>
      <c r="D177" s="276" t="s">
        <v>984</v>
      </c>
      <c r="E177" s="83" t="s">
        <v>422</v>
      </c>
      <c r="F177" s="43">
        <v>1</v>
      </c>
      <c r="G177" s="47">
        <v>2000</v>
      </c>
      <c r="H177" s="47" t="s">
        <v>90</v>
      </c>
      <c r="I177" s="99">
        <f>F177*G177</f>
        <v>2000</v>
      </c>
      <c r="J177" s="85"/>
      <c r="K177" s="86">
        <v>4000</v>
      </c>
      <c r="L177" s="155">
        <v>4000</v>
      </c>
      <c r="M177" s="291">
        <v>0</v>
      </c>
      <c r="N177" s="155"/>
      <c r="O177" s="291">
        <v>0</v>
      </c>
      <c r="P177" s="155"/>
      <c r="Q177" s="291">
        <v>0</v>
      </c>
      <c r="R177" s="155"/>
      <c r="S177" s="400">
        <f>SUMIF(Hoja1!B:B,'Budget YR2-4 DC+Hm'!D:D,Hoja1!G:G)</f>
        <v>0</v>
      </c>
      <c r="T177" s="87"/>
      <c r="U177" s="84">
        <f t="shared" si="58"/>
        <v>0</v>
      </c>
      <c r="V177" s="85">
        <v>4</v>
      </c>
      <c r="W177" s="86">
        <f t="shared" si="59"/>
        <v>8000</v>
      </c>
      <c r="X177" s="88">
        <f t="shared" si="57"/>
        <v>12000</v>
      </c>
      <c r="Y177" s="89"/>
      <c r="Z177" s="65"/>
      <c r="AC177" s="63" t="s">
        <v>45</v>
      </c>
      <c r="AD177" s="63" t="s">
        <v>647</v>
      </c>
      <c r="AE177" s="63" t="s">
        <v>45</v>
      </c>
    </row>
    <row r="178" spans="1:31" ht="33">
      <c r="A178" s="63" t="s">
        <v>503</v>
      </c>
      <c r="B178" s="95" t="s">
        <v>26</v>
      </c>
      <c r="C178" s="95" t="s">
        <v>856</v>
      </c>
      <c r="D178" s="276" t="s">
        <v>985</v>
      </c>
      <c r="E178" s="83" t="s">
        <v>757</v>
      </c>
      <c r="F178" s="43">
        <v>2</v>
      </c>
      <c r="G178" s="47">
        <v>100</v>
      </c>
      <c r="H178" s="47" t="s">
        <v>384</v>
      </c>
      <c r="I178" s="99">
        <f>F178*G178</f>
        <v>200</v>
      </c>
      <c r="J178" s="85"/>
      <c r="K178" s="86">
        <f>'Budget YR1 DC'!O110+'Budget YR1 DC'!O114+'Budget YR1 DC'!O115+'Budget YR1 DC'!O115+'Budget YR1 DC'!O116</f>
        <v>7000</v>
      </c>
      <c r="L178" s="155">
        <v>7000</v>
      </c>
      <c r="M178" s="291">
        <v>148.26</v>
      </c>
      <c r="N178" s="155"/>
      <c r="O178" s="291">
        <v>11836.56</v>
      </c>
      <c r="P178" s="155"/>
      <c r="Q178" s="291">
        <v>0</v>
      </c>
      <c r="R178" s="155"/>
      <c r="S178" s="400">
        <f>SUMIF(Hoja1!B:B,'Budget YR2-4 DC+Hm'!D:D,Hoja1!G:G)</f>
        <v>0</v>
      </c>
      <c r="T178" s="87"/>
      <c r="U178" s="84">
        <f t="shared" si="58"/>
        <v>0</v>
      </c>
      <c r="V178" s="85">
        <v>40</v>
      </c>
      <c r="W178" s="86">
        <f t="shared" si="59"/>
        <v>8000</v>
      </c>
      <c r="X178" s="88">
        <f t="shared" si="57"/>
        <v>15000</v>
      </c>
      <c r="Y178" s="89" t="s">
        <v>758</v>
      </c>
      <c r="Z178" s="65"/>
      <c r="AC178" s="63" t="s">
        <v>45</v>
      </c>
      <c r="AD178" s="63" t="s">
        <v>647</v>
      </c>
      <c r="AE178" s="63" t="s">
        <v>45</v>
      </c>
    </row>
    <row r="179" spans="1:31" ht="21.75">
      <c r="A179" s="63" t="s">
        <v>503</v>
      </c>
      <c r="B179" s="95" t="s">
        <v>26</v>
      </c>
      <c r="C179" s="95" t="s">
        <v>856</v>
      </c>
      <c r="D179" s="276" t="s">
        <v>986</v>
      </c>
      <c r="E179" s="83" t="s">
        <v>759</v>
      </c>
      <c r="F179" s="43">
        <v>3</v>
      </c>
      <c r="G179" s="47">
        <v>50</v>
      </c>
      <c r="H179" s="47" t="s">
        <v>384</v>
      </c>
      <c r="I179" s="99">
        <f aca="true" t="shared" si="60" ref="I179:I200">F179*G179</f>
        <v>150</v>
      </c>
      <c r="J179" s="85"/>
      <c r="K179" s="86">
        <f>'Budget YR1 DC'!O112</f>
        <v>500</v>
      </c>
      <c r="L179" s="155">
        <v>500</v>
      </c>
      <c r="M179" s="291">
        <v>15969.55</v>
      </c>
      <c r="N179" s="155"/>
      <c r="O179" s="291">
        <v>12526.44</v>
      </c>
      <c r="P179" s="155"/>
      <c r="Q179" s="291">
        <v>0</v>
      </c>
      <c r="R179" s="155"/>
      <c r="S179" s="400">
        <f>SUMIF(Hoja1!B:B,'Budget YR2-4 DC+Hm'!D:D,Hoja1!G:G)</f>
        <v>0</v>
      </c>
      <c r="T179" s="87"/>
      <c r="U179" s="84">
        <f t="shared" si="58"/>
        <v>0</v>
      </c>
      <c r="V179" s="85">
        <v>30</v>
      </c>
      <c r="W179" s="86">
        <f t="shared" si="59"/>
        <v>4500</v>
      </c>
      <c r="X179" s="88">
        <f t="shared" si="57"/>
        <v>5000</v>
      </c>
      <c r="Y179" s="89" t="s">
        <v>760</v>
      </c>
      <c r="Z179" s="65"/>
      <c r="AC179" s="63" t="s">
        <v>45</v>
      </c>
      <c r="AD179" s="63" t="s">
        <v>647</v>
      </c>
      <c r="AE179" s="63" t="s">
        <v>45</v>
      </c>
    </row>
    <row r="180" spans="1:31" ht="21.75">
      <c r="A180" s="63" t="s">
        <v>503</v>
      </c>
      <c r="B180" s="95" t="s">
        <v>26</v>
      </c>
      <c r="C180" s="95" t="s">
        <v>856</v>
      </c>
      <c r="D180" s="276" t="s">
        <v>987</v>
      </c>
      <c r="E180" s="83" t="s">
        <v>761</v>
      </c>
      <c r="F180" s="43">
        <v>3</v>
      </c>
      <c r="G180" s="47">
        <v>30</v>
      </c>
      <c r="H180" s="47" t="s">
        <v>384</v>
      </c>
      <c r="I180" s="99">
        <f t="shared" si="60"/>
        <v>90</v>
      </c>
      <c r="J180" s="85"/>
      <c r="K180" s="86">
        <f>J180*I180</f>
        <v>0</v>
      </c>
      <c r="L180" s="155">
        <v>0</v>
      </c>
      <c r="M180" s="291">
        <v>12882.789999999999</v>
      </c>
      <c r="N180" s="155"/>
      <c r="O180" s="291">
        <v>13606.529999999997</v>
      </c>
      <c r="P180" s="155"/>
      <c r="Q180" s="291">
        <v>0</v>
      </c>
      <c r="R180" s="155"/>
      <c r="S180" s="400">
        <f>SUMIF(Hoja1!B:B,'Budget YR2-4 DC+Hm'!D:D,Hoja1!G:G)</f>
        <v>0</v>
      </c>
      <c r="T180" s="87"/>
      <c r="U180" s="84">
        <f t="shared" si="58"/>
        <v>0</v>
      </c>
      <c r="V180" s="85">
        <v>30</v>
      </c>
      <c r="W180" s="86">
        <f t="shared" si="59"/>
        <v>2700</v>
      </c>
      <c r="X180" s="88">
        <f t="shared" si="57"/>
        <v>2700</v>
      </c>
      <c r="Y180" s="89" t="s">
        <v>762</v>
      </c>
      <c r="Z180" s="65"/>
      <c r="AC180" s="63" t="s">
        <v>45</v>
      </c>
      <c r="AD180" s="63" t="s">
        <v>647</v>
      </c>
      <c r="AE180" s="63" t="s">
        <v>45</v>
      </c>
    </row>
    <row r="181" spans="1:31" s="98" customFormat="1" ht="20.25" customHeight="1">
      <c r="A181" s="63" t="s">
        <v>503</v>
      </c>
      <c r="B181" s="95" t="s">
        <v>26</v>
      </c>
      <c r="C181" s="95" t="s">
        <v>856</v>
      </c>
      <c r="D181" s="276" t="s">
        <v>988</v>
      </c>
      <c r="E181" s="83" t="s">
        <v>763</v>
      </c>
      <c r="F181" s="91">
        <v>3</v>
      </c>
      <c r="G181" s="92">
        <v>500</v>
      </c>
      <c r="H181" s="92" t="s">
        <v>90</v>
      </c>
      <c r="I181" s="99">
        <f t="shared" si="60"/>
        <v>1500</v>
      </c>
      <c r="J181" s="93"/>
      <c r="K181" s="86">
        <v>2000</v>
      </c>
      <c r="L181" s="155">
        <v>2000</v>
      </c>
      <c r="M181" s="291">
        <v>2691.8700000000003</v>
      </c>
      <c r="N181" s="155"/>
      <c r="O181" s="291">
        <v>1229.77</v>
      </c>
      <c r="P181" s="155"/>
      <c r="Q181" s="291">
        <v>0</v>
      </c>
      <c r="R181" s="155"/>
      <c r="S181" s="400">
        <f>SUMIF(Hoja1!B:B,'Budget YR2-4 DC+Hm'!D:D,Hoja1!G:G)</f>
        <v>0</v>
      </c>
      <c r="T181" s="94"/>
      <c r="U181" s="84">
        <f t="shared" si="58"/>
        <v>0</v>
      </c>
      <c r="V181" s="93">
        <v>3</v>
      </c>
      <c r="W181" s="86">
        <f t="shared" si="59"/>
        <v>4500</v>
      </c>
      <c r="X181" s="88">
        <f t="shared" si="57"/>
        <v>6500</v>
      </c>
      <c r="Y181" s="90" t="s">
        <v>764</v>
      </c>
      <c r="Z181" s="97"/>
      <c r="AC181" s="63" t="s">
        <v>45</v>
      </c>
      <c r="AD181" s="63" t="s">
        <v>521</v>
      </c>
      <c r="AE181" s="63" t="s">
        <v>45</v>
      </c>
    </row>
    <row r="182" spans="1:31" s="95" customFormat="1" ht="10.5">
      <c r="A182" s="63" t="s">
        <v>503</v>
      </c>
      <c r="B182" s="95" t="s">
        <v>26</v>
      </c>
      <c r="C182" s="95" t="s">
        <v>856</v>
      </c>
      <c r="D182" s="276" t="s">
        <v>989</v>
      </c>
      <c r="E182" s="83" t="s">
        <v>765</v>
      </c>
      <c r="F182" s="43">
        <v>1</v>
      </c>
      <c r="G182" s="49">
        <v>200</v>
      </c>
      <c r="H182" s="49" t="s">
        <v>90</v>
      </c>
      <c r="I182" s="99">
        <f t="shared" si="60"/>
        <v>200</v>
      </c>
      <c r="J182" s="85"/>
      <c r="K182" s="86">
        <f>'Budget YR1 DC'!O118</f>
        <v>600</v>
      </c>
      <c r="L182" s="155">
        <v>600</v>
      </c>
      <c r="M182" s="291">
        <v>0</v>
      </c>
      <c r="N182" s="155"/>
      <c r="O182" s="291">
        <v>265.63</v>
      </c>
      <c r="P182" s="155"/>
      <c r="Q182" s="291">
        <v>0</v>
      </c>
      <c r="R182" s="155"/>
      <c r="S182" s="400">
        <f>SUMIF(Hoja1!B:B,'Budget YR2-4 DC+Hm'!D:D,Hoja1!G:G)</f>
        <v>-198.44</v>
      </c>
      <c r="T182" s="117"/>
      <c r="U182" s="84">
        <f t="shared" si="58"/>
        <v>0</v>
      </c>
      <c r="V182" s="116">
        <v>3</v>
      </c>
      <c r="W182" s="86">
        <f t="shared" si="59"/>
        <v>600</v>
      </c>
      <c r="X182" s="88">
        <f t="shared" si="57"/>
        <v>1200</v>
      </c>
      <c r="Y182" s="99" t="s">
        <v>766</v>
      </c>
      <c r="Z182" s="118"/>
      <c r="AA182" s="63"/>
      <c r="AC182" s="63" t="s">
        <v>45</v>
      </c>
      <c r="AD182" s="63" t="s">
        <v>521</v>
      </c>
      <c r="AE182" s="63" t="s">
        <v>45</v>
      </c>
    </row>
    <row r="183" spans="1:31" s="95" customFormat="1" ht="10.5">
      <c r="A183" s="63" t="s">
        <v>503</v>
      </c>
      <c r="B183" s="95" t="s">
        <v>26</v>
      </c>
      <c r="C183" s="95" t="s">
        <v>856</v>
      </c>
      <c r="D183" s="276" t="s">
        <v>990</v>
      </c>
      <c r="E183" s="83" t="s">
        <v>448</v>
      </c>
      <c r="F183" s="43">
        <v>1</v>
      </c>
      <c r="G183" s="49">
        <v>100</v>
      </c>
      <c r="H183" s="49" t="s">
        <v>97</v>
      </c>
      <c r="I183" s="99">
        <f t="shared" si="60"/>
        <v>100</v>
      </c>
      <c r="J183" s="85"/>
      <c r="K183" s="86">
        <f>'Budget YR1 DC'!O119</f>
        <v>300</v>
      </c>
      <c r="L183" s="155">
        <v>300</v>
      </c>
      <c r="M183" s="291">
        <v>0</v>
      </c>
      <c r="N183" s="155"/>
      <c r="O183" s="291">
        <v>0</v>
      </c>
      <c r="P183" s="155"/>
      <c r="Q183" s="291">
        <v>0</v>
      </c>
      <c r="R183" s="155"/>
      <c r="S183" s="400">
        <f>SUMIF(Hoja1!B:B,'Budget YR2-4 DC+Hm'!D:D,Hoja1!G:G)</f>
        <v>0</v>
      </c>
      <c r="T183" s="117"/>
      <c r="U183" s="84">
        <f t="shared" si="58"/>
        <v>0</v>
      </c>
      <c r="V183" s="116">
        <v>3</v>
      </c>
      <c r="W183" s="86">
        <f t="shared" si="59"/>
        <v>300</v>
      </c>
      <c r="X183" s="88">
        <f t="shared" si="57"/>
        <v>600</v>
      </c>
      <c r="Y183" s="99" t="s">
        <v>766</v>
      </c>
      <c r="Z183" s="118"/>
      <c r="AA183" s="63"/>
      <c r="AC183" s="63" t="s">
        <v>45</v>
      </c>
      <c r="AD183" s="63" t="s">
        <v>521</v>
      </c>
      <c r="AE183" s="63" t="s">
        <v>45</v>
      </c>
    </row>
    <row r="184" spans="1:31" ht="10.5">
      <c r="A184" s="63" t="s">
        <v>503</v>
      </c>
      <c r="B184" s="95" t="s">
        <v>27</v>
      </c>
      <c r="C184" s="95" t="s">
        <v>856</v>
      </c>
      <c r="D184" s="276" t="s">
        <v>1059</v>
      </c>
      <c r="E184" s="83" t="s">
        <v>767</v>
      </c>
      <c r="F184" s="91">
        <v>1</v>
      </c>
      <c r="G184" s="92">
        <v>1600</v>
      </c>
      <c r="H184" s="47" t="s">
        <v>90</v>
      </c>
      <c r="I184" s="99">
        <f t="shared" si="60"/>
        <v>1600</v>
      </c>
      <c r="J184" s="85"/>
      <c r="K184" s="86">
        <f>J184*I184</f>
        <v>0</v>
      </c>
      <c r="L184" s="155">
        <v>0</v>
      </c>
      <c r="M184" s="291">
        <v>0</v>
      </c>
      <c r="N184" s="155"/>
      <c r="O184" s="291">
        <v>8561.350000000002</v>
      </c>
      <c r="P184" s="155"/>
      <c r="Q184" s="291">
        <v>0</v>
      </c>
      <c r="R184" s="155"/>
      <c r="S184" s="400">
        <f>SUMIF(Hoja1!B:B,'Budget YR2-4 DC+Hm'!D:D,Hoja1!G:G)</f>
        <v>0</v>
      </c>
      <c r="T184" s="87"/>
      <c r="U184" s="84">
        <f t="shared" si="58"/>
        <v>0</v>
      </c>
      <c r="V184" s="85">
        <v>4</v>
      </c>
      <c r="W184" s="86">
        <f t="shared" si="59"/>
        <v>6400</v>
      </c>
      <c r="X184" s="88">
        <f t="shared" si="57"/>
        <v>6400</v>
      </c>
      <c r="Y184" s="89" t="s">
        <v>768</v>
      </c>
      <c r="Z184" s="65"/>
      <c r="AC184" s="63" t="s">
        <v>45</v>
      </c>
      <c r="AD184" s="63" t="s">
        <v>521</v>
      </c>
      <c r="AE184" s="63" t="s">
        <v>45</v>
      </c>
    </row>
    <row r="185" spans="1:31" ht="21.75">
      <c r="A185" s="63" t="s">
        <v>503</v>
      </c>
      <c r="B185" s="95" t="s">
        <v>27</v>
      </c>
      <c r="C185" s="95" t="s">
        <v>856</v>
      </c>
      <c r="D185" s="276" t="s">
        <v>1060</v>
      </c>
      <c r="E185" s="83" t="s">
        <v>178</v>
      </c>
      <c r="F185" s="43">
        <v>1</v>
      </c>
      <c r="G185" s="47">
        <v>1200</v>
      </c>
      <c r="H185" s="47" t="s">
        <v>179</v>
      </c>
      <c r="I185" s="99">
        <f t="shared" si="60"/>
        <v>1200</v>
      </c>
      <c r="J185" s="85"/>
      <c r="K185" s="86">
        <f>'Budget YR1 DC'!O121</f>
        <v>400</v>
      </c>
      <c r="L185" s="155">
        <v>400</v>
      </c>
      <c r="M185" s="291">
        <v>1156.21</v>
      </c>
      <c r="N185" s="155"/>
      <c r="O185" s="291">
        <v>0</v>
      </c>
      <c r="P185" s="155"/>
      <c r="Q185" s="291">
        <v>0</v>
      </c>
      <c r="R185" s="155"/>
      <c r="S185" s="400">
        <f>SUMIF(Hoja1!B:B,'Budget YR2-4 DC+Hm'!D:D,Hoja1!G:G)</f>
        <v>0</v>
      </c>
      <c r="T185" s="87"/>
      <c r="U185" s="84">
        <f t="shared" si="58"/>
        <v>0</v>
      </c>
      <c r="V185" s="85">
        <v>2</v>
      </c>
      <c r="W185" s="86">
        <f t="shared" si="59"/>
        <v>2400</v>
      </c>
      <c r="X185" s="88">
        <f t="shared" si="57"/>
        <v>2800</v>
      </c>
      <c r="Y185" s="89" t="s">
        <v>769</v>
      </c>
      <c r="Z185" s="65"/>
      <c r="AC185" s="63" t="s">
        <v>45</v>
      </c>
      <c r="AD185" s="63" t="s">
        <v>587</v>
      </c>
      <c r="AE185" s="63" t="s">
        <v>45</v>
      </c>
    </row>
    <row r="186" spans="1:31" ht="18" customHeight="1">
      <c r="A186" s="63" t="s">
        <v>503</v>
      </c>
      <c r="B186" s="95" t="s">
        <v>27</v>
      </c>
      <c r="C186" s="95" t="s">
        <v>856</v>
      </c>
      <c r="D186" s="276" t="s">
        <v>1061</v>
      </c>
      <c r="E186" s="83" t="s">
        <v>182</v>
      </c>
      <c r="F186" s="43">
        <v>1</v>
      </c>
      <c r="G186" s="47">
        <v>50</v>
      </c>
      <c r="H186" s="47" t="s">
        <v>384</v>
      </c>
      <c r="I186" s="99">
        <f t="shared" si="60"/>
        <v>50</v>
      </c>
      <c r="J186" s="85"/>
      <c r="K186" s="86">
        <f>'Budget YR1 DC'!O135</f>
        <v>200</v>
      </c>
      <c r="L186" s="155">
        <v>200</v>
      </c>
      <c r="M186" s="291">
        <v>0</v>
      </c>
      <c r="N186" s="155"/>
      <c r="O186" s="291">
        <v>0</v>
      </c>
      <c r="P186" s="155"/>
      <c r="Q186" s="291">
        <v>0</v>
      </c>
      <c r="R186" s="155"/>
      <c r="S186" s="400">
        <f>SUMIF(Hoja1!B:B,'Budget YR2-4 DC+Hm'!D:D,Hoja1!G:G)</f>
        <v>0</v>
      </c>
      <c r="T186" s="87"/>
      <c r="U186" s="84">
        <f t="shared" si="58"/>
        <v>0</v>
      </c>
      <c r="V186" s="85">
        <v>20</v>
      </c>
      <c r="W186" s="86">
        <f t="shared" si="59"/>
        <v>1000</v>
      </c>
      <c r="X186" s="88">
        <f t="shared" si="57"/>
        <v>1200</v>
      </c>
      <c r="Y186" s="89" t="s">
        <v>770</v>
      </c>
      <c r="Z186" s="65"/>
      <c r="AC186" s="63" t="s">
        <v>45</v>
      </c>
      <c r="AD186" s="63" t="s">
        <v>521</v>
      </c>
      <c r="AE186" s="63" t="s">
        <v>45</v>
      </c>
    </row>
    <row r="187" spans="1:31" ht="10.5">
      <c r="A187" s="63" t="s">
        <v>503</v>
      </c>
      <c r="B187" s="95" t="s">
        <v>27</v>
      </c>
      <c r="C187" s="95" t="s">
        <v>856</v>
      </c>
      <c r="D187" s="276" t="s">
        <v>1062</v>
      </c>
      <c r="E187" s="83" t="s">
        <v>771</v>
      </c>
      <c r="F187" s="43">
        <v>1</v>
      </c>
      <c r="G187" s="47">
        <v>360</v>
      </c>
      <c r="H187" s="47" t="s">
        <v>463</v>
      </c>
      <c r="I187" s="99">
        <f t="shared" si="60"/>
        <v>360</v>
      </c>
      <c r="J187" s="85"/>
      <c r="K187" s="86">
        <f>'Budget YR1 DC'!O124+800</f>
        <v>5120</v>
      </c>
      <c r="L187" s="155">
        <v>5120</v>
      </c>
      <c r="M187" s="291">
        <v>0</v>
      </c>
      <c r="N187" s="155"/>
      <c r="O187" s="291">
        <v>0</v>
      </c>
      <c r="P187" s="155"/>
      <c r="Q187" s="291">
        <v>0</v>
      </c>
      <c r="R187" s="155"/>
      <c r="S187" s="400">
        <f>SUMIF(Hoja1!B:B,'Budget YR2-4 DC+Hm'!D:D,Hoja1!G:G)</f>
        <v>0</v>
      </c>
      <c r="T187" s="87"/>
      <c r="U187" s="84">
        <f t="shared" si="58"/>
        <v>0</v>
      </c>
      <c r="V187" s="85">
        <v>12</v>
      </c>
      <c r="W187" s="86">
        <f t="shared" si="59"/>
        <v>4320</v>
      </c>
      <c r="X187" s="88">
        <f t="shared" si="57"/>
        <v>9440</v>
      </c>
      <c r="Y187" s="89" t="s">
        <v>772</v>
      </c>
      <c r="Z187" s="65"/>
      <c r="AC187" s="63" t="s">
        <v>45</v>
      </c>
      <c r="AD187" s="63" t="s">
        <v>647</v>
      </c>
      <c r="AE187" s="63" t="s">
        <v>45</v>
      </c>
    </row>
    <row r="188" spans="1:31" ht="10.5">
      <c r="A188" s="63" t="s">
        <v>503</v>
      </c>
      <c r="B188" s="95" t="s">
        <v>28</v>
      </c>
      <c r="C188" s="95" t="s">
        <v>856</v>
      </c>
      <c r="D188" s="276" t="s">
        <v>951</v>
      </c>
      <c r="E188" s="83" t="s">
        <v>466</v>
      </c>
      <c r="F188" s="43">
        <v>1</v>
      </c>
      <c r="G188" s="47">
        <v>300</v>
      </c>
      <c r="H188" s="47" t="s">
        <v>90</v>
      </c>
      <c r="I188" s="99">
        <f t="shared" si="60"/>
        <v>300</v>
      </c>
      <c r="J188" s="85"/>
      <c r="K188" s="86">
        <f>'Budget YR1 DC'!O125</f>
        <v>3600</v>
      </c>
      <c r="L188" s="155">
        <v>3600</v>
      </c>
      <c r="M188" s="291">
        <v>245.1</v>
      </c>
      <c r="N188" s="155"/>
      <c r="O188" s="291">
        <v>0</v>
      </c>
      <c r="P188" s="155"/>
      <c r="Q188" s="291">
        <v>4809.83</v>
      </c>
      <c r="R188" s="155"/>
      <c r="S188" s="400">
        <f>SUMIF(Hoja1!B:B,'Budget YR2-4 DC+Hm'!D:D,Hoja1!G:G)</f>
        <v>0</v>
      </c>
      <c r="T188" s="87"/>
      <c r="U188" s="84">
        <f t="shared" si="58"/>
        <v>0</v>
      </c>
      <c r="V188" s="85">
        <v>12</v>
      </c>
      <c r="W188" s="86">
        <f t="shared" si="59"/>
        <v>3600</v>
      </c>
      <c r="X188" s="88">
        <f t="shared" si="57"/>
        <v>7200</v>
      </c>
      <c r="Y188" s="89" t="s">
        <v>773</v>
      </c>
      <c r="Z188" s="65"/>
      <c r="AC188" s="63" t="s">
        <v>45</v>
      </c>
      <c r="AD188" s="63" t="s">
        <v>587</v>
      </c>
      <c r="AE188" s="63" t="s">
        <v>45</v>
      </c>
    </row>
    <row r="189" spans="1:31" ht="28.5" customHeight="1">
      <c r="A189" s="63" t="s">
        <v>503</v>
      </c>
      <c r="B189" s="95" t="s">
        <v>29</v>
      </c>
      <c r="C189" s="95" t="s">
        <v>856</v>
      </c>
      <c r="D189" s="276" t="s">
        <v>970</v>
      </c>
      <c r="E189" s="83" t="s">
        <v>469</v>
      </c>
      <c r="F189" s="43">
        <v>1</v>
      </c>
      <c r="G189" s="47">
        <v>80000</v>
      </c>
      <c r="H189" s="47" t="s">
        <v>97</v>
      </c>
      <c r="I189" s="99">
        <f t="shared" si="60"/>
        <v>80000</v>
      </c>
      <c r="J189" s="85"/>
      <c r="K189" s="86">
        <f>J189*I189</f>
        <v>0</v>
      </c>
      <c r="L189" s="155">
        <v>0</v>
      </c>
      <c r="M189" s="291">
        <v>3457.5699999999997</v>
      </c>
      <c r="N189" s="155"/>
      <c r="O189" s="291">
        <v>14.35</v>
      </c>
      <c r="P189" s="155"/>
      <c r="Q189" s="291">
        <v>0</v>
      </c>
      <c r="R189" s="155"/>
      <c r="S189" s="400">
        <f>SUMIF(Hoja1!B:B,'Budget YR2-4 DC+Hm'!D:D,Hoja1!G:G)</f>
        <v>0</v>
      </c>
      <c r="T189" s="87"/>
      <c r="U189" s="84">
        <f t="shared" si="58"/>
        <v>0</v>
      </c>
      <c r="V189" s="85">
        <v>1</v>
      </c>
      <c r="W189" s="212">
        <v>50000</v>
      </c>
      <c r="X189" s="88">
        <f t="shared" si="57"/>
        <v>50000</v>
      </c>
      <c r="Y189" s="89" t="s">
        <v>774</v>
      </c>
      <c r="Z189" s="65"/>
      <c r="AC189" s="63" t="s">
        <v>45</v>
      </c>
      <c r="AD189" s="63" t="s">
        <v>647</v>
      </c>
      <c r="AE189" s="63" t="s">
        <v>45</v>
      </c>
    </row>
    <row r="190" spans="1:31" ht="21.75">
      <c r="A190" s="63" t="s">
        <v>503</v>
      </c>
      <c r="B190" s="95" t="s">
        <v>33</v>
      </c>
      <c r="C190" s="95" t="s">
        <v>856</v>
      </c>
      <c r="D190" s="95" t="s">
        <v>1042</v>
      </c>
      <c r="E190" s="83" t="s">
        <v>775</v>
      </c>
      <c r="F190" s="43">
        <v>1</v>
      </c>
      <c r="G190" s="47">
        <v>8000</v>
      </c>
      <c r="H190" s="47" t="s">
        <v>97</v>
      </c>
      <c r="I190" s="99">
        <f t="shared" si="60"/>
        <v>8000</v>
      </c>
      <c r="J190" s="85"/>
      <c r="K190" s="86">
        <f>J190*I190</f>
        <v>0</v>
      </c>
      <c r="L190" s="155">
        <v>0</v>
      </c>
      <c r="M190" s="291">
        <v>0</v>
      </c>
      <c r="N190" s="155"/>
      <c r="O190" s="291">
        <v>0</v>
      </c>
      <c r="P190" s="155"/>
      <c r="Q190" s="291">
        <v>0</v>
      </c>
      <c r="R190" s="155"/>
      <c r="S190" s="400">
        <f>SUMIF(Hoja1!B:B,'Budget YR2-4 DC+Hm'!D:D,Hoja1!G:G)</f>
        <v>0</v>
      </c>
      <c r="T190" s="87"/>
      <c r="U190" s="84">
        <f t="shared" si="58"/>
        <v>0</v>
      </c>
      <c r="V190" s="85">
        <v>1</v>
      </c>
      <c r="W190" s="212">
        <v>6000</v>
      </c>
      <c r="X190" s="88">
        <f t="shared" si="57"/>
        <v>6000</v>
      </c>
      <c r="Y190" s="89" t="s">
        <v>776</v>
      </c>
      <c r="Z190" s="65"/>
      <c r="AC190" s="63" t="s">
        <v>45</v>
      </c>
      <c r="AD190" s="63" t="s">
        <v>647</v>
      </c>
      <c r="AE190" s="63" t="s">
        <v>45</v>
      </c>
    </row>
    <row r="191" spans="1:31" ht="21.75">
      <c r="A191" s="63" t="s">
        <v>503</v>
      </c>
      <c r="B191" s="95" t="s">
        <v>33</v>
      </c>
      <c r="C191" s="95" t="s">
        <v>856</v>
      </c>
      <c r="D191" s="276" t="s">
        <v>1043</v>
      </c>
      <c r="E191" s="83" t="s">
        <v>777</v>
      </c>
      <c r="F191" s="43">
        <v>1</v>
      </c>
      <c r="G191" s="47">
        <v>6000</v>
      </c>
      <c r="H191" s="47" t="s">
        <v>97</v>
      </c>
      <c r="I191" s="99">
        <f t="shared" si="60"/>
        <v>6000</v>
      </c>
      <c r="J191" s="85"/>
      <c r="K191" s="86">
        <f>'Budget YR1 DC'!O129</f>
        <v>4808.48</v>
      </c>
      <c r="L191" s="155">
        <v>4808.48</v>
      </c>
      <c r="M191" s="291">
        <v>0</v>
      </c>
      <c r="N191" s="155"/>
      <c r="O191" s="291">
        <v>0</v>
      </c>
      <c r="P191" s="155"/>
      <c r="Q191" s="291">
        <v>0</v>
      </c>
      <c r="R191" s="155"/>
      <c r="S191" s="400">
        <f>SUMIF(Hoja1!B:B,'Budget YR2-4 DC+Hm'!D:D,Hoja1!G:G)</f>
        <v>0</v>
      </c>
      <c r="T191" s="87"/>
      <c r="U191" s="84">
        <f t="shared" si="58"/>
        <v>0</v>
      </c>
      <c r="V191" s="85">
        <v>1</v>
      </c>
      <c r="W191" s="212">
        <v>4000</v>
      </c>
      <c r="X191" s="88">
        <f t="shared" si="57"/>
        <v>8808.48</v>
      </c>
      <c r="Y191" s="89" t="s">
        <v>778</v>
      </c>
      <c r="Z191" s="65"/>
      <c r="AC191" s="63" t="s">
        <v>45</v>
      </c>
      <c r="AD191" s="63" t="s">
        <v>647</v>
      </c>
      <c r="AE191" s="63" t="s">
        <v>45</v>
      </c>
    </row>
    <row r="192" spans="1:31" ht="10.5">
      <c r="A192" s="63" t="s">
        <v>503</v>
      </c>
      <c r="B192" s="95" t="s">
        <v>31</v>
      </c>
      <c r="C192" s="95" t="s">
        <v>856</v>
      </c>
      <c r="D192" s="276" t="s">
        <v>1006</v>
      </c>
      <c r="E192" s="83" t="s">
        <v>478</v>
      </c>
      <c r="F192" s="43">
        <v>1</v>
      </c>
      <c r="G192" s="47">
        <v>1000</v>
      </c>
      <c r="H192" s="47" t="s">
        <v>97</v>
      </c>
      <c r="I192" s="99">
        <f t="shared" si="60"/>
        <v>1000</v>
      </c>
      <c r="J192" s="85"/>
      <c r="K192" s="86">
        <f>'Budget YR1 DC'!O130</f>
        <v>1000</v>
      </c>
      <c r="L192" s="155">
        <v>1000</v>
      </c>
      <c r="M192" s="291">
        <v>0</v>
      </c>
      <c r="N192" s="155"/>
      <c r="O192" s="291">
        <v>0</v>
      </c>
      <c r="P192" s="155"/>
      <c r="Q192" s="291">
        <v>0</v>
      </c>
      <c r="R192" s="155"/>
      <c r="S192" s="400">
        <f>SUMIF(Hoja1!B:B,'Budget YR2-4 DC+Hm'!D:D,Hoja1!G:G)</f>
        <v>0</v>
      </c>
      <c r="T192" s="87"/>
      <c r="U192" s="84">
        <f t="shared" si="58"/>
        <v>0</v>
      </c>
      <c r="V192" s="85">
        <v>1</v>
      </c>
      <c r="W192" s="86">
        <f aca="true" t="shared" si="61" ref="W192:W200">V192*I192</f>
        <v>1000</v>
      </c>
      <c r="X192" s="88">
        <f t="shared" si="57"/>
        <v>2000</v>
      </c>
      <c r="Y192" s="89" t="s">
        <v>779</v>
      </c>
      <c r="Z192" s="65"/>
      <c r="AC192" s="63" t="s">
        <v>45</v>
      </c>
      <c r="AD192" s="63" t="s">
        <v>780</v>
      </c>
      <c r="AE192" s="63" t="s">
        <v>45</v>
      </c>
    </row>
    <row r="193" spans="1:31" ht="10.5">
      <c r="A193" s="63" t="s">
        <v>503</v>
      </c>
      <c r="B193" s="95" t="s">
        <v>34</v>
      </c>
      <c r="C193" s="95" t="s">
        <v>856</v>
      </c>
      <c r="D193" s="95" t="s">
        <v>1028</v>
      </c>
      <c r="E193" s="83" t="s">
        <v>781</v>
      </c>
      <c r="F193" s="43">
        <v>1</v>
      </c>
      <c r="G193" s="47">
        <v>400</v>
      </c>
      <c r="H193" s="47" t="s">
        <v>90</v>
      </c>
      <c r="I193" s="99">
        <f t="shared" si="60"/>
        <v>400</v>
      </c>
      <c r="J193" s="85"/>
      <c r="K193" s="86">
        <f>'Budget YR1 DC'!O131</f>
        <v>456</v>
      </c>
      <c r="L193" s="155">
        <v>456</v>
      </c>
      <c r="M193" s="291">
        <v>1032.19</v>
      </c>
      <c r="N193" s="155"/>
      <c r="O193" s="291">
        <v>27.770000000000003</v>
      </c>
      <c r="P193" s="155"/>
      <c r="Q193" s="291">
        <v>275.02000000000004</v>
      </c>
      <c r="R193" s="155"/>
      <c r="S193" s="400">
        <f>SUMIF(Hoja1!B:B,'Budget YR2-4 DC+Hm'!D:D,Hoja1!G:G)</f>
        <v>222.32000000000002</v>
      </c>
      <c r="T193" s="87"/>
      <c r="U193" s="84">
        <f t="shared" si="58"/>
        <v>0</v>
      </c>
      <c r="V193" s="85">
        <v>3</v>
      </c>
      <c r="W193" s="86">
        <f t="shared" si="61"/>
        <v>1200</v>
      </c>
      <c r="X193" s="88">
        <f t="shared" si="57"/>
        <v>1656</v>
      </c>
      <c r="Y193" s="89" t="s">
        <v>782</v>
      </c>
      <c r="Z193" s="65"/>
      <c r="AC193" s="63" t="s">
        <v>45</v>
      </c>
      <c r="AD193" s="63" t="s">
        <v>780</v>
      </c>
      <c r="AE193" s="63" t="s">
        <v>45</v>
      </c>
    </row>
    <row r="194" spans="1:31" ht="10.5">
      <c r="A194" s="63" t="s">
        <v>503</v>
      </c>
      <c r="B194" s="95" t="s">
        <v>31</v>
      </c>
      <c r="C194" s="95" t="s">
        <v>856</v>
      </c>
      <c r="D194" s="276" t="s">
        <v>1007</v>
      </c>
      <c r="E194" s="83" t="s">
        <v>702</v>
      </c>
      <c r="F194" s="43">
        <v>1</v>
      </c>
      <c r="G194" s="47">
        <v>750</v>
      </c>
      <c r="H194" s="47" t="s">
        <v>97</v>
      </c>
      <c r="I194" s="99">
        <f t="shared" si="60"/>
        <v>750</v>
      </c>
      <c r="J194" s="85"/>
      <c r="K194" s="86">
        <f>J194*I194</f>
        <v>0</v>
      </c>
      <c r="L194" s="155">
        <v>0</v>
      </c>
      <c r="M194" s="291">
        <v>0</v>
      </c>
      <c r="N194" s="155"/>
      <c r="O194" s="291">
        <v>0</v>
      </c>
      <c r="P194" s="155"/>
      <c r="Q194" s="291">
        <v>207</v>
      </c>
      <c r="R194" s="155"/>
      <c r="S194" s="400">
        <f>SUMIF(Hoja1!B:B,'Budget YR2-4 DC+Hm'!D:D,Hoja1!G:G)</f>
        <v>144</v>
      </c>
      <c r="T194" s="87"/>
      <c r="U194" s="84">
        <f t="shared" si="58"/>
        <v>0</v>
      </c>
      <c r="V194" s="85">
        <v>4</v>
      </c>
      <c r="W194" s="86">
        <f t="shared" si="61"/>
        <v>3000</v>
      </c>
      <c r="X194" s="88">
        <f t="shared" si="57"/>
        <v>3000</v>
      </c>
      <c r="Y194" s="89" t="s">
        <v>783</v>
      </c>
      <c r="Z194" s="65"/>
      <c r="AC194" s="63" t="s">
        <v>45</v>
      </c>
      <c r="AD194" s="63" t="s">
        <v>602</v>
      </c>
      <c r="AE194" s="63" t="s">
        <v>45</v>
      </c>
    </row>
    <row r="195" spans="1:31" ht="27" customHeight="1">
      <c r="A195" s="63" t="s">
        <v>503</v>
      </c>
      <c r="B195" s="95" t="s">
        <v>32</v>
      </c>
      <c r="C195" s="95" t="s">
        <v>856</v>
      </c>
      <c r="D195" s="276" t="s">
        <v>968</v>
      </c>
      <c r="E195" s="83" t="s">
        <v>784</v>
      </c>
      <c r="F195" s="43">
        <v>1</v>
      </c>
      <c r="G195" s="47">
        <v>5000</v>
      </c>
      <c r="H195" s="47" t="s">
        <v>97</v>
      </c>
      <c r="I195" s="99">
        <f t="shared" si="60"/>
        <v>5000</v>
      </c>
      <c r="J195" s="85"/>
      <c r="K195" s="86">
        <v>2500</v>
      </c>
      <c r="L195" s="155">
        <v>2500</v>
      </c>
      <c r="M195" s="291">
        <v>0</v>
      </c>
      <c r="N195" s="155"/>
      <c r="O195" s="291">
        <v>0</v>
      </c>
      <c r="P195" s="155"/>
      <c r="Q195" s="291">
        <v>0</v>
      </c>
      <c r="R195" s="155"/>
      <c r="S195" s="400">
        <f>SUMIF(Hoja1!B:B,'Budget YR2-4 DC+Hm'!D:D,Hoja1!G:G)</f>
        <v>0</v>
      </c>
      <c r="T195" s="87"/>
      <c r="U195" s="84">
        <f t="shared" si="58"/>
        <v>0</v>
      </c>
      <c r="V195" s="85">
        <v>1</v>
      </c>
      <c r="W195" s="86">
        <f t="shared" si="61"/>
        <v>5000</v>
      </c>
      <c r="X195" s="88">
        <f t="shared" si="57"/>
        <v>7500</v>
      </c>
      <c r="Y195" s="89" t="s">
        <v>785</v>
      </c>
      <c r="Z195" s="65"/>
      <c r="AC195" s="63" t="s">
        <v>45</v>
      </c>
      <c r="AD195" s="63" t="s">
        <v>647</v>
      </c>
      <c r="AE195" s="63" t="s">
        <v>45</v>
      </c>
    </row>
    <row r="196" spans="1:31" ht="10.5">
      <c r="A196" s="63" t="s">
        <v>503</v>
      </c>
      <c r="B196" s="95" t="s">
        <v>34</v>
      </c>
      <c r="C196" s="95" t="s">
        <v>856</v>
      </c>
      <c r="D196" s="95" t="s">
        <v>1029</v>
      </c>
      <c r="E196" s="83" t="s">
        <v>93</v>
      </c>
      <c r="F196" s="43">
        <v>1</v>
      </c>
      <c r="G196" s="47">
        <v>400</v>
      </c>
      <c r="H196" s="47" t="s">
        <v>90</v>
      </c>
      <c r="I196" s="99">
        <f t="shared" si="60"/>
        <v>400</v>
      </c>
      <c r="J196" s="85"/>
      <c r="K196" s="86">
        <f>'Budget YR1 DC'!O128+'Budget YR1 DC'!O134</f>
        <v>3951.93</v>
      </c>
      <c r="L196" s="155">
        <v>3951.93</v>
      </c>
      <c r="M196" s="291">
        <v>205.68</v>
      </c>
      <c r="N196" s="155"/>
      <c r="O196" s="291">
        <v>0</v>
      </c>
      <c r="P196" s="155"/>
      <c r="Q196" s="291">
        <v>0</v>
      </c>
      <c r="R196" s="155"/>
      <c r="S196" s="400">
        <f>SUMIF(Hoja1!B:B,'Budget YR2-4 DC+Hm'!D:D,Hoja1!G:G)</f>
        <v>0</v>
      </c>
      <c r="T196" s="87"/>
      <c r="U196" s="84">
        <f t="shared" si="58"/>
        <v>0</v>
      </c>
      <c r="V196" s="85">
        <v>3</v>
      </c>
      <c r="W196" s="86">
        <f t="shared" si="61"/>
        <v>1200</v>
      </c>
      <c r="X196" s="88">
        <f t="shared" si="57"/>
        <v>5151.93</v>
      </c>
      <c r="Y196" s="89" t="s">
        <v>786</v>
      </c>
      <c r="Z196" s="65"/>
      <c r="AC196" s="63" t="s">
        <v>45</v>
      </c>
      <c r="AD196" s="63" t="s">
        <v>780</v>
      </c>
      <c r="AE196" s="63" t="s">
        <v>45</v>
      </c>
    </row>
    <row r="197" spans="1:31" s="98" customFormat="1" ht="21.75">
      <c r="A197" s="63" t="s">
        <v>503</v>
      </c>
      <c r="B197" s="95" t="s">
        <v>34</v>
      </c>
      <c r="C197" s="95" t="s">
        <v>856</v>
      </c>
      <c r="D197" s="95" t="s">
        <v>1030</v>
      </c>
      <c r="E197" s="304" t="s">
        <v>787</v>
      </c>
      <c r="F197" s="91">
        <v>3</v>
      </c>
      <c r="G197" s="126">
        <v>3150</v>
      </c>
      <c r="H197" s="126" t="s">
        <v>90</v>
      </c>
      <c r="I197" s="146">
        <f t="shared" si="60"/>
        <v>9450</v>
      </c>
      <c r="J197" s="93"/>
      <c r="K197" s="86">
        <f>'Budget YR1 DC'!O136</f>
        <v>13600</v>
      </c>
      <c r="L197" s="155">
        <v>13600</v>
      </c>
      <c r="M197" s="291">
        <v>15780.93</v>
      </c>
      <c r="N197" s="155"/>
      <c r="O197" s="291">
        <v>7314.91</v>
      </c>
      <c r="P197" s="155"/>
      <c r="Q197" s="291">
        <v>-12800</v>
      </c>
      <c r="R197" s="155"/>
      <c r="S197" s="400">
        <f>SUMIF(Hoja1!B:B,'Budget YR2-4 DC+Hm'!D:D,Hoja1!G:G)</f>
        <v>0</v>
      </c>
      <c r="T197" s="127"/>
      <c r="U197" s="84">
        <f t="shared" si="58"/>
        <v>0</v>
      </c>
      <c r="V197" s="128">
        <v>3</v>
      </c>
      <c r="W197" s="86">
        <f t="shared" si="61"/>
        <v>28350</v>
      </c>
      <c r="X197" s="88">
        <f t="shared" si="57"/>
        <v>41950</v>
      </c>
      <c r="Y197" s="129" t="s">
        <v>788</v>
      </c>
      <c r="Z197" s="130"/>
      <c r="AC197" s="63" t="s">
        <v>45</v>
      </c>
      <c r="AD197" s="95" t="s">
        <v>595</v>
      </c>
      <c r="AE197" s="63" t="s">
        <v>45</v>
      </c>
    </row>
    <row r="198" spans="1:31" s="98" customFormat="1" ht="21.75">
      <c r="A198" s="63" t="s">
        <v>503</v>
      </c>
      <c r="B198" s="95" t="s">
        <v>34</v>
      </c>
      <c r="C198" s="95" t="s">
        <v>856</v>
      </c>
      <c r="D198" s="95" t="s">
        <v>1031</v>
      </c>
      <c r="E198" s="83" t="s">
        <v>789</v>
      </c>
      <c r="F198" s="91">
        <v>1</v>
      </c>
      <c r="G198" s="92">
        <v>150</v>
      </c>
      <c r="H198" s="92" t="s">
        <v>90</v>
      </c>
      <c r="I198" s="99">
        <f t="shared" si="60"/>
        <v>150</v>
      </c>
      <c r="J198" s="93"/>
      <c r="K198" s="86">
        <f>'Budget YR1 DC'!O123+'Budget YR1 DC'!O137+'Budget YR1 DC'!O138</f>
        <v>2250</v>
      </c>
      <c r="L198" s="155">
        <v>2250</v>
      </c>
      <c r="M198" s="291">
        <v>0</v>
      </c>
      <c r="N198" s="155"/>
      <c r="O198" s="291">
        <v>0</v>
      </c>
      <c r="P198" s="155"/>
      <c r="Q198" s="291">
        <v>5.59</v>
      </c>
      <c r="R198" s="155"/>
      <c r="S198" s="400">
        <f>SUMIF(Hoja1!B:B,'Budget YR2-4 DC+Hm'!D:D,Hoja1!G:G)</f>
        <v>0</v>
      </c>
      <c r="T198" s="94"/>
      <c r="U198" s="84">
        <f t="shared" si="58"/>
        <v>0</v>
      </c>
      <c r="V198" s="93">
        <v>3</v>
      </c>
      <c r="W198" s="86">
        <f t="shared" si="61"/>
        <v>450</v>
      </c>
      <c r="X198" s="88">
        <f t="shared" si="57"/>
        <v>2700</v>
      </c>
      <c r="Y198" s="90" t="s">
        <v>790</v>
      </c>
      <c r="Z198" s="97"/>
      <c r="AC198" s="63" t="s">
        <v>520</v>
      </c>
      <c r="AD198" s="95" t="s">
        <v>595</v>
      </c>
      <c r="AE198" s="63" t="s">
        <v>45</v>
      </c>
    </row>
    <row r="199" spans="1:31" ht="10.5">
      <c r="A199" s="63" t="s">
        <v>503</v>
      </c>
      <c r="B199" s="95" t="s">
        <v>28</v>
      </c>
      <c r="C199" s="95" t="s">
        <v>856</v>
      </c>
      <c r="D199" s="276" t="s">
        <v>950</v>
      </c>
      <c r="E199" s="83" t="s">
        <v>496</v>
      </c>
      <c r="F199" s="43">
        <v>3</v>
      </c>
      <c r="G199" s="47">
        <v>3300</v>
      </c>
      <c r="H199" s="47" t="s">
        <v>97</v>
      </c>
      <c r="I199" s="99">
        <f t="shared" si="60"/>
        <v>9900</v>
      </c>
      <c r="J199" s="85"/>
      <c r="K199" s="86">
        <v>0</v>
      </c>
      <c r="L199" s="155">
        <v>0</v>
      </c>
      <c r="M199" s="291">
        <v>5375.780000000001</v>
      </c>
      <c r="N199" s="155"/>
      <c r="O199" s="291">
        <v>263.04</v>
      </c>
      <c r="P199" s="155"/>
      <c r="Q199" s="291">
        <v>0</v>
      </c>
      <c r="R199" s="155"/>
      <c r="S199" s="400">
        <f>SUMIF(Hoja1!B:B,'Budget YR2-4 DC+Hm'!D:D,Hoja1!G:G)</f>
        <v>134.46</v>
      </c>
      <c r="T199" s="87"/>
      <c r="U199" s="84">
        <f t="shared" si="58"/>
        <v>0</v>
      </c>
      <c r="V199" s="85">
        <v>1</v>
      </c>
      <c r="W199" s="86">
        <f t="shared" si="61"/>
        <v>9900</v>
      </c>
      <c r="X199" s="88">
        <f t="shared" si="57"/>
        <v>9900</v>
      </c>
      <c r="Y199" s="89" t="s">
        <v>791</v>
      </c>
      <c r="Z199" s="65"/>
      <c r="AC199" s="63" t="s">
        <v>45</v>
      </c>
      <c r="AD199" s="63" t="s">
        <v>647</v>
      </c>
      <c r="AE199" s="63" t="s">
        <v>45</v>
      </c>
    </row>
    <row r="200" spans="1:31" ht="10.5">
      <c r="A200" s="63" t="s">
        <v>503</v>
      </c>
      <c r="B200" s="95" t="s">
        <v>28</v>
      </c>
      <c r="C200" s="95" t="s">
        <v>856</v>
      </c>
      <c r="D200" s="276" t="s">
        <v>949</v>
      </c>
      <c r="E200" s="83" t="s">
        <v>792</v>
      </c>
      <c r="F200" s="43">
        <v>20</v>
      </c>
      <c r="G200" s="47">
        <v>20</v>
      </c>
      <c r="H200" s="47" t="s">
        <v>384</v>
      </c>
      <c r="I200" s="99">
        <f t="shared" si="60"/>
        <v>400</v>
      </c>
      <c r="J200" s="85"/>
      <c r="K200" s="86">
        <f>J200*I200</f>
        <v>0</v>
      </c>
      <c r="L200" s="155"/>
      <c r="M200" s="291">
        <v>6050.8099999999995</v>
      </c>
      <c r="N200" s="155"/>
      <c r="O200" s="291">
        <v>0</v>
      </c>
      <c r="P200" s="155"/>
      <c r="Q200" s="291">
        <v>0</v>
      </c>
      <c r="R200" s="155"/>
      <c r="S200" s="400">
        <f>SUMIF(Hoja1!B:B,'Budget YR2-4 DC+Hm'!D:D,Hoja1!G:G)</f>
        <v>0</v>
      </c>
      <c r="T200" s="87"/>
      <c r="U200" s="84">
        <f t="shared" si="58"/>
        <v>0</v>
      </c>
      <c r="V200" s="85">
        <v>50</v>
      </c>
      <c r="W200" s="86">
        <f t="shared" si="61"/>
        <v>20000</v>
      </c>
      <c r="X200" s="88">
        <f t="shared" si="57"/>
        <v>20000</v>
      </c>
      <c r="Y200" s="89" t="s">
        <v>793</v>
      </c>
      <c r="Z200" s="65"/>
      <c r="AC200" s="63" t="s">
        <v>45</v>
      </c>
      <c r="AD200" s="63" t="s">
        <v>647</v>
      </c>
      <c r="AE200" s="63" t="s">
        <v>45</v>
      </c>
    </row>
    <row r="201" spans="2:26" ht="10.5">
      <c r="B201" s="95"/>
      <c r="C201" s="95"/>
      <c r="D201" s="95"/>
      <c r="E201" s="131"/>
      <c r="F201" s="132"/>
      <c r="G201" s="65"/>
      <c r="H201" s="65"/>
      <c r="I201" s="70"/>
      <c r="J201" s="133"/>
      <c r="K201" s="112">
        <f>SUM(K4:K199)</f>
        <v>2059198.2800000005</v>
      </c>
      <c r="L201" s="70"/>
      <c r="M201" s="292"/>
      <c r="N201" s="70"/>
      <c r="O201" s="292"/>
      <c r="P201" s="70"/>
      <c r="Q201" s="294"/>
      <c r="R201" s="70"/>
      <c r="S201" s="292"/>
      <c r="T201" s="132"/>
      <c r="U201" s="112">
        <f>SUM(U4:U199)</f>
        <v>1712188.8000000003</v>
      </c>
      <c r="V201" s="133"/>
      <c r="W201" s="112">
        <f>SUM(W4:W200)</f>
        <v>1918608.8000000003</v>
      </c>
      <c r="X201" s="134"/>
      <c r="Y201" s="65"/>
      <c r="Z201" s="65"/>
    </row>
    <row r="202" spans="1:26" ht="21" customHeight="1">
      <c r="A202" s="63" t="s">
        <v>503</v>
      </c>
      <c r="B202" s="95"/>
      <c r="C202" s="95"/>
      <c r="D202" s="95"/>
      <c r="E202" s="302" t="s">
        <v>794</v>
      </c>
      <c r="F202" s="111"/>
      <c r="G202" s="111"/>
      <c r="H202" s="111"/>
      <c r="I202" s="111"/>
      <c r="J202" s="113"/>
      <c r="K202" s="112"/>
      <c r="L202" s="70"/>
      <c r="M202" s="292"/>
      <c r="N202" s="70"/>
      <c r="O202" s="292"/>
      <c r="P202" s="70"/>
      <c r="Q202" s="298"/>
      <c r="R202" s="70"/>
      <c r="S202" s="292"/>
      <c r="T202" s="111"/>
      <c r="U202" s="112"/>
      <c r="V202" s="113"/>
      <c r="W202" s="114"/>
      <c r="Y202" s="82"/>
      <c r="Z202" s="82"/>
    </row>
    <row r="203" spans="1:31" ht="21.75">
      <c r="A203" s="63" t="s">
        <v>503</v>
      </c>
      <c r="B203" s="95" t="s">
        <v>35</v>
      </c>
      <c r="C203" s="95" t="s">
        <v>59</v>
      </c>
      <c r="D203" s="95" t="s">
        <v>1235</v>
      </c>
      <c r="E203" s="83" t="s">
        <v>500</v>
      </c>
      <c r="F203" s="43">
        <v>1</v>
      </c>
      <c r="G203" s="135">
        <v>0.1</v>
      </c>
      <c r="H203" s="47" t="s">
        <v>501</v>
      </c>
      <c r="I203" s="144"/>
      <c r="J203" s="85">
        <v>1</v>
      </c>
      <c r="K203" s="137">
        <f>K201*G203+'Budget YR1 DC'!O141+207</f>
        <v>216306.27800000008</v>
      </c>
      <c r="L203" s="145">
        <f>K203/4</f>
        <v>54076.56950000002</v>
      </c>
      <c r="M203" s="297">
        <v>20403.72099999999</v>
      </c>
      <c r="N203" s="145">
        <f>K203/4</f>
        <v>54076.56950000002</v>
      </c>
      <c r="O203" s="291">
        <v>46388.20199999999</v>
      </c>
      <c r="P203" s="145">
        <f>K203/4</f>
        <v>54076.56950000002</v>
      </c>
      <c r="Q203" s="299">
        <v>38980.99499999999</v>
      </c>
      <c r="R203" s="145">
        <f>K203/4</f>
        <v>54076.56950000002</v>
      </c>
      <c r="S203" s="400">
        <f>SUMIF(Hoja1!B:B,'Budget YR2-4 DC+Hm'!D:D,Hoja1!G:G)</f>
        <v>30245.07486</v>
      </c>
      <c r="T203" s="87">
        <v>1</v>
      </c>
      <c r="U203" s="136">
        <f>U201*G203</f>
        <v>171218.88000000003</v>
      </c>
      <c r="V203" s="85">
        <v>1</v>
      </c>
      <c r="W203" s="136">
        <f>W201*G203</f>
        <v>191860.88000000003</v>
      </c>
      <c r="Y203" s="138" t="s">
        <v>795</v>
      </c>
      <c r="Z203" s="139"/>
      <c r="AE203" s="63" t="s">
        <v>796</v>
      </c>
    </row>
    <row r="204" spans="1:26" ht="66.75" thickBot="1">
      <c r="A204" s="63" t="s">
        <v>503</v>
      </c>
      <c r="B204" s="95"/>
      <c r="C204" s="95"/>
      <c r="H204" s="66" t="s">
        <v>797</v>
      </c>
      <c r="I204" s="145"/>
      <c r="J204" s="141"/>
      <c r="K204" s="140">
        <f>K201+K203</f>
        <v>2275504.5580000007</v>
      </c>
      <c r="L204" s="70"/>
      <c r="M204" s="70">
        <f>SUM(M5:M203)</f>
        <v>224440.93099999995</v>
      </c>
      <c r="N204" s="70"/>
      <c r="O204" s="70">
        <f>SUM(O5:O203)</f>
        <v>510270.22199999983</v>
      </c>
      <c r="P204" s="70"/>
      <c r="Q204" s="70">
        <f>SUM(Q5:Q203)</f>
        <v>404790.94500000024</v>
      </c>
      <c r="R204" s="70"/>
      <c r="S204" s="70">
        <f>SUM(S5:S203)</f>
        <v>332695.8234599999</v>
      </c>
      <c r="U204" s="140">
        <f>U201+U203</f>
        <v>1883407.6800000004</v>
      </c>
      <c r="V204" s="141"/>
      <c r="W204" s="140">
        <f>W201+W203</f>
        <v>2110469.68</v>
      </c>
      <c r="X204" s="88">
        <f>K204+U204+W204</f>
        <v>6269381.918000001</v>
      </c>
      <c r="Y204" s="142"/>
      <c r="Z204" s="111"/>
    </row>
    <row r="205" spans="1:3" ht="10.5">
      <c r="A205" s="63" t="s">
        <v>503</v>
      </c>
      <c r="B205" s="95"/>
      <c r="C205" s="95"/>
    </row>
    <row r="206" spans="1:3" ht="10.5">
      <c r="A206" s="63" t="s">
        <v>503</v>
      </c>
      <c r="B206" s="95"/>
      <c r="C206" s="95"/>
    </row>
    <row r="207" spans="1:24" ht="10.5">
      <c r="A207" s="63" t="s">
        <v>503</v>
      </c>
      <c r="B207" s="95"/>
      <c r="C207" s="95"/>
      <c r="X207" s="118"/>
    </row>
    <row r="208" spans="1:24" ht="10.5">
      <c r="A208" s="63" t="s">
        <v>503</v>
      </c>
      <c r="B208" s="95"/>
      <c r="C208" s="95"/>
      <c r="X208" s="118"/>
    </row>
    <row r="209" spans="1:3" ht="10.5">
      <c r="A209" s="63" t="s">
        <v>503</v>
      </c>
      <c r="B209" s="95"/>
      <c r="C209" s="95"/>
    </row>
    <row r="210" spans="1:3" ht="10.5">
      <c r="A210" s="63" t="s">
        <v>503</v>
      </c>
      <c r="B210" s="95"/>
      <c r="C210" s="95"/>
    </row>
    <row r="211" spans="1:3" ht="10.5">
      <c r="A211" s="63" t="s">
        <v>503</v>
      </c>
      <c r="B211" s="95"/>
      <c r="C211" s="95"/>
    </row>
    <row r="212" spans="1:3" ht="10.5">
      <c r="A212" s="63" t="s">
        <v>503</v>
      </c>
      <c r="B212" s="95"/>
      <c r="C212" s="95"/>
    </row>
    <row r="213" spans="1:3" ht="10.5">
      <c r="A213" s="63" t="s">
        <v>503</v>
      </c>
      <c r="B213" s="95"/>
      <c r="C213" s="95"/>
    </row>
    <row r="214" spans="1:3" ht="10.5">
      <c r="A214" s="63" t="s">
        <v>503</v>
      </c>
      <c r="B214" s="95"/>
      <c r="C214" s="95"/>
    </row>
    <row r="215" spans="1:3" ht="10.5">
      <c r="A215" s="63" t="s">
        <v>503</v>
      </c>
      <c r="B215" s="95"/>
      <c r="C215" s="95"/>
    </row>
    <row r="216" spans="1:3" ht="10.5">
      <c r="A216" s="63" t="s">
        <v>503</v>
      </c>
      <c r="B216" s="95"/>
      <c r="C216" s="95"/>
    </row>
    <row r="217" spans="1:3" ht="10.5">
      <c r="A217" s="63" t="s">
        <v>503</v>
      </c>
      <c r="B217" s="95"/>
      <c r="C217" s="95"/>
    </row>
    <row r="218" spans="1:3" ht="10.5">
      <c r="A218" s="63" t="s">
        <v>503</v>
      </c>
      <c r="B218" s="95"/>
      <c r="C218" s="95"/>
    </row>
    <row r="219" spans="1:3" ht="10.5">
      <c r="A219" s="63" t="s">
        <v>503</v>
      </c>
      <c r="B219" s="95"/>
      <c r="C219" s="95"/>
    </row>
    <row r="220" spans="2:3" ht="10.5">
      <c r="B220" s="95"/>
      <c r="C220" s="95"/>
    </row>
    <row r="221" spans="2:3" ht="10.5">
      <c r="B221" s="95"/>
      <c r="C221" s="95"/>
    </row>
    <row r="222" spans="2:3" ht="10.5">
      <c r="B222" s="95"/>
      <c r="C222" s="95"/>
    </row>
    <row r="223" spans="2:3" ht="10.5">
      <c r="B223" s="95"/>
      <c r="C223" s="95"/>
    </row>
    <row r="224" spans="2:3" ht="10.5">
      <c r="B224" s="95"/>
      <c r="C224" s="95"/>
    </row>
    <row r="225" spans="2:3" ht="10.5">
      <c r="B225" s="95"/>
      <c r="C225" s="95"/>
    </row>
    <row r="226" spans="2:3" ht="10.5">
      <c r="B226" s="95"/>
      <c r="C226" s="95"/>
    </row>
    <row r="227" spans="2:3" ht="10.5">
      <c r="B227" s="95"/>
      <c r="C227" s="95"/>
    </row>
    <row r="228" spans="2:3" ht="10.5">
      <c r="B228" s="95"/>
      <c r="C228" s="95"/>
    </row>
    <row r="229" spans="2:3" ht="10.5">
      <c r="B229" s="95"/>
      <c r="C229" s="95"/>
    </row>
    <row r="230" spans="2:3" ht="10.5">
      <c r="B230" s="95"/>
      <c r="C230" s="95"/>
    </row>
    <row r="231" spans="2:3" ht="10.5">
      <c r="B231" s="95"/>
      <c r="C231" s="95"/>
    </row>
    <row r="232" spans="2:3" ht="10.5">
      <c r="B232" s="95"/>
      <c r="C232" s="95"/>
    </row>
    <row r="233" spans="2:3" ht="10.5">
      <c r="B233" s="95"/>
      <c r="C233" s="95"/>
    </row>
    <row r="234" spans="2:3" ht="10.5">
      <c r="B234" s="95"/>
      <c r="C234" s="95"/>
    </row>
    <row r="235" spans="2:3" ht="10.5">
      <c r="B235" s="95"/>
      <c r="C235" s="95"/>
    </row>
    <row r="236" spans="2:3" ht="10.5">
      <c r="B236" s="95"/>
      <c r="C236" s="95"/>
    </row>
    <row r="237" spans="2:3" ht="10.5">
      <c r="B237" s="95"/>
      <c r="C237" s="95"/>
    </row>
    <row r="238" spans="2:3" ht="10.5">
      <c r="B238" s="95"/>
      <c r="C238" s="95"/>
    </row>
    <row r="239" spans="2:3" ht="10.5">
      <c r="B239" s="95"/>
      <c r="C239" s="95"/>
    </row>
    <row r="240" spans="2:3" ht="10.5">
      <c r="B240" s="95"/>
      <c r="C240" s="95"/>
    </row>
    <row r="241" spans="2:3" ht="10.5">
      <c r="B241" s="95"/>
      <c r="C241" s="95"/>
    </row>
    <row r="242" spans="2:3" ht="10.5">
      <c r="B242" s="95"/>
      <c r="C242" s="95"/>
    </row>
    <row r="243" spans="2:3" ht="10.5">
      <c r="B243" s="95"/>
      <c r="C243" s="95"/>
    </row>
    <row r="244" spans="2:3" ht="10.5">
      <c r="B244" s="95"/>
      <c r="C244" s="95"/>
    </row>
    <row r="245" spans="2:3" ht="10.5">
      <c r="B245" s="95"/>
      <c r="C245" s="95"/>
    </row>
    <row r="246" spans="2:3" ht="10.5">
      <c r="B246" s="95"/>
      <c r="C246" s="95"/>
    </row>
    <row r="247" spans="2:3" ht="10.5">
      <c r="B247" s="95"/>
      <c r="C247" s="95"/>
    </row>
    <row r="248" spans="2:3" ht="10.5">
      <c r="B248" s="95"/>
      <c r="C248" s="95"/>
    </row>
    <row r="249" spans="2:3" ht="10.5">
      <c r="B249" s="95"/>
      <c r="C249" s="95"/>
    </row>
    <row r="250" spans="2:3" ht="10.5">
      <c r="B250" s="95"/>
      <c r="C250" s="95"/>
    </row>
    <row r="251" spans="2:3" ht="10.5">
      <c r="B251" s="95"/>
      <c r="C251" s="95"/>
    </row>
    <row r="252" spans="2:3" ht="10.5">
      <c r="B252" s="95"/>
      <c r="C252" s="95"/>
    </row>
    <row r="253" spans="2:3" ht="10.5">
      <c r="B253" s="95"/>
      <c r="C253" s="95"/>
    </row>
    <row r="254" spans="2:3" ht="10.5">
      <c r="B254" s="95"/>
      <c r="C254" s="95"/>
    </row>
    <row r="255" spans="2:3" ht="10.5">
      <c r="B255" s="95"/>
      <c r="C255" s="95"/>
    </row>
    <row r="256" spans="2:3" ht="10.5">
      <c r="B256" s="95"/>
      <c r="C256" s="95"/>
    </row>
    <row r="257" spans="2:3" ht="10.5">
      <c r="B257" s="95"/>
      <c r="C257" s="95"/>
    </row>
    <row r="258" spans="2:3" ht="10.5">
      <c r="B258" s="95"/>
      <c r="C258" s="95"/>
    </row>
    <row r="259" spans="2:3" ht="10.5">
      <c r="B259" s="95"/>
      <c r="C259" s="95"/>
    </row>
    <row r="260" spans="2:3" ht="10.5">
      <c r="B260" s="95"/>
      <c r="C260" s="95"/>
    </row>
    <row r="261" spans="2:3" ht="10.5">
      <c r="B261" s="95"/>
      <c r="C261" s="95"/>
    </row>
    <row r="262" spans="2:3" ht="10.5">
      <c r="B262" s="95"/>
      <c r="C262" s="95"/>
    </row>
    <row r="263" spans="2:3" ht="10.5">
      <c r="B263" s="95"/>
      <c r="C263" s="95"/>
    </row>
    <row r="264" spans="2:3" ht="10.5">
      <c r="B264" s="95"/>
      <c r="C264" s="95"/>
    </row>
    <row r="265" spans="2:3" ht="10.5">
      <c r="B265" s="95"/>
      <c r="C265" s="95"/>
    </row>
    <row r="266" spans="2:3" ht="10.5">
      <c r="B266" s="95"/>
      <c r="C266" s="95"/>
    </row>
    <row r="267" spans="2:3" ht="10.5">
      <c r="B267" s="95"/>
      <c r="C267" s="95"/>
    </row>
    <row r="268" spans="2:3" ht="10.5">
      <c r="B268" s="95"/>
      <c r="C268" s="95"/>
    </row>
    <row r="269" spans="2:3" ht="10.5">
      <c r="B269" s="95"/>
      <c r="C269" s="95"/>
    </row>
    <row r="270" spans="2:3" ht="10.5">
      <c r="B270" s="95"/>
      <c r="C270" s="95"/>
    </row>
    <row r="271" spans="2:3" ht="10.5">
      <c r="B271" s="95"/>
      <c r="C271" s="95"/>
    </row>
    <row r="272" spans="2:3" ht="10.5">
      <c r="B272" s="95"/>
      <c r="C272" s="95"/>
    </row>
    <row r="273" spans="2:3" ht="10.5">
      <c r="B273" s="95"/>
      <c r="C273" s="95"/>
    </row>
    <row r="274" spans="2:3" ht="10.5">
      <c r="B274" s="95"/>
      <c r="C274" s="95"/>
    </row>
    <row r="275" spans="2:3" ht="10.5">
      <c r="B275" s="95"/>
      <c r="C275" s="95"/>
    </row>
    <row r="276" spans="2:3" ht="10.5">
      <c r="B276" s="95"/>
      <c r="C276" s="95"/>
    </row>
    <row r="277" spans="2:3" ht="10.5">
      <c r="B277" s="95"/>
      <c r="C277" s="95"/>
    </row>
    <row r="278" spans="2:3" ht="10.5">
      <c r="B278" s="95"/>
      <c r="C278" s="95"/>
    </row>
    <row r="279" spans="2:3" ht="10.5">
      <c r="B279" s="95"/>
      <c r="C279" s="95"/>
    </row>
    <row r="280" spans="2:3" ht="10.5">
      <c r="B280" s="95"/>
      <c r="C280" s="95"/>
    </row>
    <row r="281" spans="2:3" ht="10.5">
      <c r="B281" s="95"/>
      <c r="C281" s="95"/>
    </row>
    <row r="282" spans="2:3" ht="10.5">
      <c r="B282" s="95"/>
      <c r="C282" s="95"/>
    </row>
    <row r="283" spans="2:3" ht="10.5">
      <c r="B283" s="95"/>
      <c r="C283" s="95"/>
    </row>
    <row r="284" spans="2:3" ht="10.5">
      <c r="B284" s="95"/>
      <c r="C284" s="95"/>
    </row>
    <row r="285" spans="2:3" ht="10.5">
      <c r="B285" s="95"/>
      <c r="C285" s="95"/>
    </row>
    <row r="286" spans="2:3" ht="10.5">
      <c r="B286" s="95"/>
      <c r="C286" s="95"/>
    </row>
    <row r="287" spans="2:3" ht="10.5">
      <c r="B287" s="95"/>
      <c r="C287" s="95"/>
    </row>
    <row r="288" spans="2:3" ht="10.5">
      <c r="B288" s="95"/>
      <c r="C288" s="95"/>
    </row>
    <row r="289" spans="2:3" ht="10.5">
      <c r="B289" s="95"/>
      <c r="C289" s="95"/>
    </row>
    <row r="290" spans="2:3" ht="10.5">
      <c r="B290" s="95"/>
      <c r="C290" s="95"/>
    </row>
    <row r="291" spans="2:3" ht="10.5">
      <c r="B291" s="95"/>
      <c r="C291" s="95"/>
    </row>
    <row r="292" spans="2:3" ht="10.5">
      <c r="B292" s="95"/>
      <c r="C292" s="95"/>
    </row>
    <row r="293" spans="2:3" ht="10.5">
      <c r="B293" s="95"/>
      <c r="C293" s="95"/>
    </row>
    <row r="294" spans="2:3" ht="10.5">
      <c r="B294" s="95"/>
      <c r="C294" s="95"/>
    </row>
    <row r="295" spans="2:3" ht="10.5">
      <c r="B295" s="95"/>
      <c r="C295" s="95"/>
    </row>
    <row r="296" spans="2:3" ht="10.5">
      <c r="B296" s="95"/>
      <c r="C296" s="95"/>
    </row>
    <row r="297" spans="2:3" ht="10.5">
      <c r="B297" s="95"/>
      <c r="C297" s="95"/>
    </row>
    <row r="298" spans="2:3" ht="10.5">
      <c r="B298" s="95"/>
      <c r="C298" s="95"/>
    </row>
    <row r="299" spans="2:3" ht="10.5">
      <c r="B299" s="95"/>
      <c r="C299" s="95"/>
    </row>
    <row r="300" spans="2:3" ht="10.5">
      <c r="B300" s="95"/>
      <c r="C300" s="95"/>
    </row>
    <row r="301" spans="2:3" ht="10.5">
      <c r="B301" s="95"/>
      <c r="C301" s="95"/>
    </row>
    <row r="302" spans="2:3" ht="10.5">
      <c r="B302" s="95"/>
      <c r="C302" s="95"/>
    </row>
    <row r="303" spans="2:3" ht="10.5">
      <c r="B303" s="95"/>
      <c r="C303" s="95"/>
    </row>
    <row r="304" spans="2:3" ht="10.5">
      <c r="B304" s="95"/>
      <c r="C304" s="95"/>
    </row>
    <row r="305" spans="2:3" ht="10.5">
      <c r="B305" s="95"/>
      <c r="C305" s="95"/>
    </row>
    <row r="306" spans="2:3" ht="10.5">
      <c r="B306" s="95"/>
      <c r="C306" s="95"/>
    </row>
    <row r="307" spans="2:3" ht="10.5">
      <c r="B307" s="95"/>
      <c r="C307" s="95"/>
    </row>
    <row r="308" spans="2:3" ht="10.5">
      <c r="B308" s="95"/>
      <c r="C308" s="95"/>
    </row>
    <row r="309" spans="2:3" ht="10.5">
      <c r="B309" s="95"/>
      <c r="C309" s="95"/>
    </row>
    <row r="310" spans="2:3" ht="10.5">
      <c r="B310" s="95"/>
      <c r="C310" s="95"/>
    </row>
    <row r="311" spans="2:3" ht="10.5">
      <c r="B311" s="95"/>
      <c r="C311" s="95"/>
    </row>
    <row r="312" spans="2:3" ht="10.5">
      <c r="B312" s="95"/>
      <c r="C312" s="95"/>
    </row>
    <row r="313" spans="2:3" ht="10.5">
      <c r="B313" s="95"/>
      <c r="C313" s="95"/>
    </row>
    <row r="314" spans="2:3" ht="10.5">
      <c r="B314" s="95"/>
      <c r="C314" s="95"/>
    </row>
    <row r="315" spans="2:3" ht="10.5">
      <c r="B315" s="95"/>
      <c r="C315" s="95"/>
    </row>
    <row r="316" spans="2:3" ht="10.5">
      <c r="B316" s="95"/>
      <c r="C316" s="95"/>
    </row>
    <row r="317" spans="2:3" ht="10.5">
      <c r="B317" s="95"/>
      <c r="C317" s="95"/>
    </row>
    <row r="318" spans="2:3" ht="10.5">
      <c r="B318" s="95"/>
      <c r="C318" s="95"/>
    </row>
    <row r="319" spans="2:3" ht="10.5">
      <c r="B319" s="95"/>
      <c r="C319" s="95"/>
    </row>
    <row r="320" spans="2:3" ht="10.5">
      <c r="B320" s="95"/>
      <c r="C320" s="95"/>
    </row>
    <row r="321" spans="2:3" ht="10.5">
      <c r="B321" s="95"/>
      <c r="C321" s="95"/>
    </row>
    <row r="322" spans="2:3" ht="10.5">
      <c r="B322" s="95"/>
      <c r="C322" s="95"/>
    </row>
    <row r="323" spans="2:3" ht="10.5">
      <c r="B323" s="95"/>
      <c r="C323" s="95"/>
    </row>
    <row r="324" spans="2:3" ht="10.5">
      <c r="B324" s="95"/>
      <c r="C324" s="95"/>
    </row>
    <row r="325" spans="2:3" ht="10.5">
      <c r="B325" s="95"/>
      <c r="C325" s="95"/>
    </row>
    <row r="326" spans="2:3" ht="10.5">
      <c r="B326" s="95"/>
      <c r="C326" s="95"/>
    </row>
    <row r="327" spans="2:3" ht="10.5">
      <c r="B327" s="95"/>
      <c r="C327" s="95"/>
    </row>
    <row r="328" spans="2:3" ht="10.5">
      <c r="B328" s="95"/>
      <c r="C328" s="95"/>
    </row>
    <row r="329" spans="2:3" ht="10.5">
      <c r="B329" s="95"/>
      <c r="C329" s="95"/>
    </row>
    <row r="330" spans="2:3" ht="10.5">
      <c r="B330" s="95"/>
      <c r="C330" s="95"/>
    </row>
    <row r="331" spans="2:3" ht="10.5">
      <c r="B331" s="95"/>
      <c r="C331" s="95"/>
    </row>
    <row r="332" spans="2:3" ht="10.5">
      <c r="B332" s="95"/>
      <c r="C332" s="95"/>
    </row>
    <row r="333" spans="2:3" ht="10.5">
      <c r="B333" s="95"/>
      <c r="C333" s="95"/>
    </row>
    <row r="334" spans="2:3" ht="10.5">
      <c r="B334" s="95"/>
      <c r="C334" s="95"/>
    </row>
    <row r="335" spans="2:3" ht="10.5">
      <c r="B335" s="95"/>
      <c r="C335" s="95"/>
    </row>
    <row r="336" spans="2:3" ht="10.5">
      <c r="B336" s="95"/>
      <c r="C336" s="95"/>
    </row>
    <row r="337" spans="2:3" ht="10.5">
      <c r="B337" s="95"/>
      <c r="C337" s="95"/>
    </row>
    <row r="338" spans="2:3" ht="10.5">
      <c r="B338" s="95"/>
      <c r="C338" s="95"/>
    </row>
    <row r="339" spans="2:3" ht="10.5">
      <c r="B339" s="95"/>
      <c r="C339" s="95"/>
    </row>
    <row r="340" spans="2:3" ht="10.5">
      <c r="B340" s="95"/>
      <c r="C340" s="95"/>
    </row>
    <row r="341" spans="2:3" ht="10.5">
      <c r="B341" s="95"/>
      <c r="C341" s="95"/>
    </row>
    <row r="342" spans="2:3" ht="10.5">
      <c r="B342" s="95"/>
      <c r="C342" s="95"/>
    </row>
    <row r="343" spans="2:3" ht="10.5">
      <c r="B343" s="95"/>
      <c r="C343" s="95"/>
    </row>
    <row r="344" spans="2:3" ht="10.5">
      <c r="B344" s="95"/>
      <c r="C344" s="95"/>
    </row>
    <row r="345" spans="2:3" ht="10.5">
      <c r="B345" s="95"/>
      <c r="C345" s="95"/>
    </row>
    <row r="346" spans="2:3" ht="10.5">
      <c r="B346" s="95"/>
      <c r="C346" s="95"/>
    </row>
    <row r="347" spans="2:3" ht="10.5">
      <c r="B347" s="95"/>
      <c r="C347" s="95"/>
    </row>
    <row r="348" spans="2:3" ht="10.5">
      <c r="B348" s="95"/>
      <c r="C348" s="95"/>
    </row>
    <row r="349" spans="2:3" ht="10.5">
      <c r="B349" s="95"/>
      <c r="C349" s="95"/>
    </row>
    <row r="350" spans="2:3" ht="10.5">
      <c r="B350" s="95"/>
      <c r="C350" s="95"/>
    </row>
    <row r="351" spans="2:3" ht="10.5">
      <c r="B351" s="95"/>
      <c r="C351" s="95"/>
    </row>
    <row r="352" spans="2:3" ht="10.5">
      <c r="B352" s="95"/>
      <c r="C352" s="95"/>
    </row>
    <row r="353" spans="2:3" ht="10.5">
      <c r="B353" s="95"/>
      <c r="C353" s="95"/>
    </row>
    <row r="354" spans="2:3" ht="10.5">
      <c r="B354" s="95"/>
      <c r="C354" s="95"/>
    </row>
    <row r="355" spans="2:3" ht="10.5">
      <c r="B355" s="95"/>
      <c r="C355" s="95"/>
    </row>
    <row r="356" spans="2:3" ht="10.5">
      <c r="B356" s="95"/>
      <c r="C356" s="95"/>
    </row>
    <row r="357" spans="2:3" ht="10.5">
      <c r="B357" s="95"/>
      <c r="C357" s="95"/>
    </row>
    <row r="358" spans="2:3" ht="10.5">
      <c r="B358" s="95"/>
      <c r="C358" s="95"/>
    </row>
    <row r="359" spans="2:3" ht="10.5">
      <c r="B359" s="95"/>
      <c r="C359" s="95"/>
    </row>
    <row r="360" spans="2:3" ht="10.5">
      <c r="B360" s="95"/>
      <c r="C360" s="95"/>
    </row>
    <row r="361" spans="2:3" ht="10.5">
      <c r="B361" s="95"/>
      <c r="C361" s="95"/>
    </row>
    <row r="362" spans="2:3" ht="10.5">
      <c r="B362" s="95"/>
      <c r="C362" s="95"/>
    </row>
    <row r="363" spans="2:3" ht="10.5">
      <c r="B363" s="95"/>
      <c r="C363" s="95"/>
    </row>
    <row r="364" spans="2:3" ht="10.5">
      <c r="B364" s="95"/>
      <c r="C364" s="95"/>
    </row>
    <row r="365" spans="2:3" ht="10.5">
      <c r="B365" s="95"/>
      <c r="C365" s="95"/>
    </row>
    <row r="366" spans="2:3" ht="10.5">
      <c r="B366" s="95"/>
      <c r="C366" s="95"/>
    </row>
    <row r="367" spans="2:3" ht="10.5">
      <c r="B367" s="95"/>
      <c r="C367" s="95"/>
    </row>
    <row r="368" spans="2:3" ht="10.5">
      <c r="B368" s="95"/>
      <c r="C368" s="95"/>
    </row>
    <row r="369" spans="2:3" ht="10.5">
      <c r="B369" s="95"/>
      <c r="C369" s="95"/>
    </row>
    <row r="370" spans="2:3" ht="10.5">
      <c r="B370" s="95"/>
      <c r="C370" s="95"/>
    </row>
    <row r="371" spans="2:3" ht="10.5">
      <c r="B371" s="95"/>
      <c r="C371" s="95"/>
    </row>
    <row r="372" spans="2:3" ht="10.5">
      <c r="B372" s="95"/>
      <c r="C372" s="95"/>
    </row>
    <row r="373" spans="2:3" ht="10.5">
      <c r="B373" s="95"/>
      <c r="C373" s="95"/>
    </row>
    <row r="374" spans="2:3" ht="10.5">
      <c r="B374" s="95"/>
      <c r="C374" s="95"/>
    </row>
    <row r="375" spans="2:3" ht="10.5">
      <c r="B375" s="95"/>
      <c r="C375" s="95"/>
    </row>
    <row r="376" spans="2:3" ht="10.5">
      <c r="B376" s="95"/>
      <c r="C376" s="95"/>
    </row>
    <row r="377" spans="2:3" ht="10.5">
      <c r="B377" s="95"/>
      <c r="C377" s="95"/>
    </row>
    <row r="378" spans="2:3" ht="10.5">
      <c r="B378" s="95"/>
      <c r="C378" s="95"/>
    </row>
    <row r="379" spans="2:3" ht="10.5">
      <c r="B379" s="95"/>
      <c r="C379" s="95"/>
    </row>
    <row r="380" spans="2:3" ht="10.5">
      <c r="B380" s="95"/>
      <c r="C380" s="95"/>
    </row>
    <row r="381" spans="2:3" ht="10.5">
      <c r="B381" s="95"/>
      <c r="C381" s="95"/>
    </row>
    <row r="382" spans="2:3" ht="10.5">
      <c r="B382" s="95"/>
      <c r="C382" s="95"/>
    </row>
    <row r="383" spans="2:3" ht="10.5">
      <c r="B383" s="95"/>
      <c r="C383" s="95"/>
    </row>
    <row r="384" spans="2:3" ht="10.5">
      <c r="B384" s="95"/>
      <c r="C384" s="95"/>
    </row>
    <row r="385" spans="2:3" ht="10.5">
      <c r="B385" s="95"/>
      <c r="C385" s="95"/>
    </row>
    <row r="386" spans="2:3" ht="10.5">
      <c r="B386" s="95"/>
      <c r="C386" s="95"/>
    </row>
    <row r="387" spans="2:3" ht="10.5">
      <c r="B387" s="95"/>
      <c r="C387" s="95"/>
    </row>
    <row r="388" spans="2:3" ht="10.5">
      <c r="B388" s="95"/>
      <c r="C388" s="95"/>
    </row>
    <row r="389" spans="2:3" ht="10.5">
      <c r="B389" s="95"/>
      <c r="C389" s="95"/>
    </row>
    <row r="390" spans="2:3" ht="10.5">
      <c r="B390" s="95"/>
      <c r="C390" s="95"/>
    </row>
    <row r="391" spans="2:3" ht="10.5">
      <c r="B391" s="95"/>
      <c r="C391" s="95"/>
    </row>
    <row r="392" spans="2:3" ht="10.5">
      <c r="B392" s="95"/>
      <c r="C392" s="95"/>
    </row>
    <row r="393" spans="2:3" ht="10.5">
      <c r="B393" s="95"/>
      <c r="C393" s="95"/>
    </row>
    <row r="394" spans="2:3" ht="10.5">
      <c r="B394" s="95"/>
      <c r="C394" s="95"/>
    </row>
    <row r="395" spans="2:3" ht="10.5">
      <c r="B395" s="95"/>
      <c r="C395" s="95"/>
    </row>
    <row r="396" spans="2:3" ht="10.5">
      <c r="B396" s="95"/>
      <c r="C396" s="95"/>
    </row>
    <row r="397" spans="2:3" ht="10.5">
      <c r="B397" s="95"/>
      <c r="C397" s="95"/>
    </row>
    <row r="398" spans="2:3" ht="10.5">
      <c r="B398" s="95"/>
      <c r="C398" s="95"/>
    </row>
    <row r="399" spans="2:3" ht="10.5">
      <c r="B399" s="95"/>
      <c r="C399" s="95"/>
    </row>
    <row r="400" spans="2:3" ht="10.5">
      <c r="B400" s="95"/>
      <c r="C400" s="95"/>
    </row>
    <row r="401" spans="2:3" ht="10.5">
      <c r="B401" s="95"/>
      <c r="C401" s="95"/>
    </row>
    <row r="402" spans="2:3" ht="10.5">
      <c r="B402" s="95"/>
      <c r="C402" s="95"/>
    </row>
    <row r="403" spans="2:3" ht="10.5">
      <c r="B403" s="95"/>
      <c r="C403" s="95"/>
    </row>
    <row r="404" spans="2:3" ht="10.5">
      <c r="B404" s="95"/>
      <c r="C404" s="95"/>
    </row>
    <row r="405" spans="2:3" ht="10.5">
      <c r="B405" s="95"/>
      <c r="C405" s="95"/>
    </row>
    <row r="406" spans="2:3" ht="10.5">
      <c r="B406" s="95"/>
      <c r="C406" s="95"/>
    </row>
    <row r="407" spans="2:3" ht="10.5">
      <c r="B407" s="95"/>
      <c r="C407" s="95"/>
    </row>
    <row r="408" spans="2:3" ht="10.5">
      <c r="B408" s="95"/>
      <c r="C408" s="95"/>
    </row>
    <row r="409" spans="2:3" ht="10.5">
      <c r="B409" s="95"/>
      <c r="C409" s="95"/>
    </row>
    <row r="410" spans="2:3" ht="10.5">
      <c r="B410" s="95"/>
      <c r="C410" s="95"/>
    </row>
    <row r="411" spans="2:3" ht="10.5">
      <c r="B411" s="95"/>
      <c r="C411" s="95"/>
    </row>
    <row r="412" spans="2:3" ht="10.5">
      <c r="B412" s="95"/>
      <c r="C412" s="95"/>
    </row>
    <row r="413" spans="2:3" ht="10.5">
      <c r="B413" s="95"/>
      <c r="C413" s="95"/>
    </row>
    <row r="414" spans="2:3" ht="10.5">
      <c r="B414" s="95"/>
      <c r="C414" s="95"/>
    </row>
    <row r="415" spans="2:3" ht="10.5">
      <c r="B415" s="95"/>
      <c r="C415" s="95"/>
    </row>
    <row r="416" spans="2:3" ht="10.5">
      <c r="B416" s="95"/>
      <c r="C416" s="95"/>
    </row>
    <row r="417" spans="2:3" ht="10.5">
      <c r="B417" s="95"/>
      <c r="C417" s="95"/>
    </row>
    <row r="418" spans="2:3" ht="10.5">
      <c r="B418" s="95"/>
      <c r="C418" s="95"/>
    </row>
    <row r="419" spans="2:3" ht="10.5">
      <c r="B419" s="95"/>
      <c r="C419" s="95"/>
    </row>
    <row r="420" spans="2:3" ht="10.5">
      <c r="B420" s="95"/>
      <c r="C420" s="95"/>
    </row>
    <row r="421" spans="2:3" ht="10.5">
      <c r="B421" s="95"/>
      <c r="C421" s="95"/>
    </row>
    <row r="422" spans="2:3" ht="10.5">
      <c r="B422" s="95"/>
      <c r="C422" s="95"/>
    </row>
    <row r="423" spans="2:3" ht="10.5">
      <c r="B423" s="95"/>
      <c r="C423" s="95"/>
    </row>
    <row r="424" spans="2:3" ht="10.5">
      <c r="B424" s="95"/>
      <c r="C424" s="95"/>
    </row>
    <row r="425" spans="2:3" ht="10.5">
      <c r="B425" s="95"/>
      <c r="C425" s="95"/>
    </row>
    <row r="426" spans="2:3" ht="10.5">
      <c r="B426" s="95"/>
      <c r="C426" s="95"/>
    </row>
    <row r="427" spans="2:3" ht="10.5">
      <c r="B427" s="95"/>
      <c r="C427" s="95"/>
    </row>
    <row r="428" spans="2:3" ht="10.5">
      <c r="B428" s="95"/>
      <c r="C428" s="95"/>
    </row>
    <row r="429" spans="2:3" ht="10.5">
      <c r="B429" s="95"/>
      <c r="C429" s="95"/>
    </row>
    <row r="430" spans="2:3" ht="10.5">
      <c r="B430" s="95"/>
      <c r="C430" s="95"/>
    </row>
    <row r="431" spans="2:3" ht="10.5">
      <c r="B431" s="95"/>
      <c r="C431" s="95"/>
    </row>
    <row r="432" spans="2:3" ht="10.5">
      <c r="B432" s="95"/>
      <c r="C432" s="95"/>
    </row>
    <row r="433" spans="2:3" ht="10.5">
      <c r="B433" s="95"/>
      <c r="C433" s="95"/>
    </row>
    <row r="434" spans="2:3" ht="10.5">
      <c r="B434" s="95"/>
      <c r="C434" s="95"/>
    </row>
    <row r="435" spans="2:3" ht="10.5">
      <c r="B435" s="95"/>
      <c r="C435" s="95"/>
    </row>
    <row r="436" spans="2:3" ht="10.5">
      <c r="B436" s="95"/>
      <c r="C436" s="95"/>
    </row>
    <row r="437" spans="2:3" ht="10.5">
      <c r="B437" s="95"/>
      <c r="C437" s="95"/>
    </row>
    <row r="438" spans="2:3" ht="10.5">
      <c r="B438" s="95"/>
      <c r="C438" s="95"/>
    </row>
    <row r="439" spans="2:3" ht="10.5">
      <c r="B439" s="95"/>
      <c r="C439" s="95"/>
    </row>
    <row r="440" spans="2:3" ht="10.5">
      <c r="B440" s="95"/>
      <c r="C440" s="95"/>
    </row>
    <row r="441" spans="2:3" ht="10.5">
      <c r="B441" s="95"/>
      <c r="C441" s="95"/>
    </row>
    <row r="442" spans="2:3" ht="10.5">
      <c r="B442" s="95"/>
      <c r="C442" s="95"/>
    </row>
    <row r="443" spans="2:3" ht="10.5">
      <c r="B443" s="95"/>
      <c r="C443" s="95"/>
    </row>
    <row r="444" spans="2:3" ht="10.5">
      <c r="B444" s="95"/>
      <c r="C444" s="95"/>
    </row>
    <row r="445" spans="2:3" ht="10.5">
      <c r="B445" s="95"/>
      <c r="C445" s="95"/>
    </row>
    <row r="446" spans="2:3" ht="10.5">
      <c r="B446" s="95"/>
      <c r="C446" s="95"/>
    </row>
    <row r="447" spans="2:3" ht="10.5">
      <c r="B447" s="95"/>
      <c r="C447" s="95"/>
    </row>
    <row r="448" spans="2:3" ht="10.5">
      <c r="B448" s="95"/>
      <c r="C448" s="95"/>
    </row>
    <row r="449" spans="2:3" ht="10.5">
      <c r="B449" s="95"/>
      <c r="C449" s="95"/>
    </row>
    <row r="450" spans="2:3" ht="10.5">
      <c r="B450" s="95"/>
      <c r="C450" s="95"/>
    </row>
    <row r="451" spans="2:3" ht="10.5">
      <c r="B451" s="95"/>
      <c r="C451" s="95"/>
    </row>
    <row r="452" spans="2:3" ht="10.5">
      <c r="B452" s="95"/>
      <c r="C452" s="95"/>
    </row>
    <row r="453" spans="2:3" ht="10.5">
      <c r="B453" s="95"/>
      <c r="C453" s="95"/>
    </row>
    <row r="454" spans="2:3" ht="10.5">
      <c r="B454" s="95"/>
      <c r="C454" s="95"/>
    </row>
    <row r="455" spans="2:3" ht="10.5">
      <c r="B455" s="95"/>
      <c r="C455" s="95"/>
    </row>
    <row r="456" spans="2:3" ht="10.5">
      <c r="B456" s="95"/>
      <c r="C456" s="95"/>
    </row>
    <row r="457" spans="2:3" ht="10.5">
      <c r="B457" s="95"/>
      <c r="C457" s="95"/>
    </row>
    <row r="458" spans="2:3" ht="10.5">
      <c r="B458" s="95"/>
      <c r="C458" s="95"/>
    </row>
    <row r="459" spans="2:3" ht="10.5">
      <c r="B459" s="95"/>
      <c r="C459" s="95"/>
    </row>
    <row r="460" spans="2:3" ht="10.5">
      <c r="B460" s="95"/>
      <c r="C460" s="95"/>
    </row>
    <row r="461" spans="2:3" ht="10.5">
      <c r="B461" s="95"/>
      <c r="C461" s="95"/>
    </row>
    <row r="462" spans="2:3" ht="10.5">
      <c r="B462" s="95"/>
      <c r="C462" s="95"/>
    </row>
    <row r="463" spans="2:3" ht="10.5">
      <c r="B463" s="95"/>
      <c r="C463" s="95"/>
    </row>
    <row r="464" spans="2:3" ht="10.5">
      <c r="B464" s="95"/>
      <c r="C464" s="95"/>
    </row>
    <row r="465" spans="2:3" ht="10.5">
      <c r="B465" s="95"/>
      <c r="C465" s="95"/>
    </row>
    <row r="466" spans="2:3" ht="10.5">
      <c r="B466" s="95"/>
      <c r="C466" s="95"/>
    </row>
    <row r="467" spans="2:3" ht="10.5">
      <c r="B467" s="95"/>
      <c r="C467" s="95"/>
    </row>
    <row r="468" spans="2:3" ht="10.5">
      <c r="B468" s="95"/>
      <c r="C468" s="95"/>
    </row>
    <row r="469" spans="2:3" ht="10.5">
      <c r="B469" s="95"/>
      <c r="C469" s="95"/>
    </row>
    <row r="470" spans="2:3" ht="10.5">
      <c r="B470" s="95"/>
      <c r="C470" s="95"/>
    </row>
    <row r="471" spans="2:3" ht="10.5">
      <c r="B471" s="95"/>
      <c r="C471" s="95"/>
    </row>
    <row r="472" spans="2:3" ht="10.5">
      <c r="B472" s="95"/>
      <c r="C472" s="95"/>
    </row>
    <row r="473" spans="2:3" ht="10.5">
      <c r="B473" s="95"/>
      <c r="C473" s="95"/>
    </row>
    <row r="474" spans="2:3" ht="10.5">
      <c r="B474" s="95"/>
      <c r="C474" s="95"/>
    </row>
    <row r="475" spans="2:3" ht="10.5">
      <c r="B475" s="95"/>
      <c r="C475" s="95"/>
    </row>
    <row r="476" spans="2:3" ht="10.5">
      <c r="B476" s="95"/>
      <c r="C476" s="95"/>
    </row>
    <row r="477" spans="2:3" ht="10.5">
      <c r="B477" s="95"/>
      <c r="C477" s="95"/>
    </row>
    <row r="478" spans="2:3" ht="10.5">
      <c r="B478" s="95"/>
      <c r="C478" s="95"/>
    </row>
  </sheetData>
  <sheetProtection/>
  <autoFilter ref="A4:BI219"/>
  <mergeCells count="10">
    <mergeCell ref="B3:B4"/>
    <mergeCell ref="C3:C4"/>
    <mergeCell ref="D3:D4"/>
    <mergeCell ref="J1:K1"/>
    <mergeCell ref="T1:U1"/>
    <mergeCell ref="V1:W1"/>
    <mergeCell ref="L3:M3"/>
    <mergeCell ref="N3:O3"/>
    <mergeCell ref="R3:S3"/>
    <mergeCell ref="P3:Q3"/>
  </mergeCells>
  <printOptions/>
  <pageMargins left="0.7" right="0.7"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2:T101"/>
  <sheetViews>
    <sheetView workbookViewId="0" topLeftCell="A39">
      <selection activeCell="C59" sqref="C59"/>
    </sheetView>
  </sheetViews>
  <sheetFormatPr defaultColWidth="11.57421875" defaultRowHeight="15"/>
  <cols>
    <col min="1" max="1" width="1.421875" style="1" customWidth="1"/>
    <col min="2" max="2" width="22.28125" style="1" customWidth="1"/>
    <col min="3" max="3" width="20.140625" style="1" customWidth="1"/>
    <col min="4" max="4" width="7.421875" style="196" customWidth="1"/>
    <col min="5" max="5" width="41.140625" style="168" customWidth="1"/>
    <col min="6" max="7" width="9.140625" style="168" customWidth="1"/>
    <col min="8" max="19" width="11.421875" style="169" customWidth="1"/>
    <col min="20" max="16384" width="11.421875" style="1" customWidth="1"/>
  </cols>
  <sheetData>
    <row r="1" ht="15" thickBot="1"/>
    <row r="2" spans="1:19" s="170" customFormat="1" ht="15" customHeight="1" thickBot="1">
      <c r="A2" s="170" t="s">
        <v>503</v>
      </c>
      <c r="D2" s="203"/>
      <c r="E2" s="205"/>
      <c r="F2" s="880" t="s">
        <v>803</v>
      </c>
      <c r="G2" s="881"/>
      <c r="H2" s="169"/>
      <c r="I2" s="169"/>
      <c r="J2" s="169"/>
      <c r="K2" s="169"/>
      <c r="L2" s="169"/>
      <c r="M2" s="169"/>
      <c r="N2" s="169"/>
      <c r="O2" s="169"/>
      <c r="P2" s="169"/>
      <c r="Q2" s="169"/>
      <c r="R2" s="169"/>
      <c r="S2" s="169"/>
    </row>
    <row r="3" spans="1:19" s="170" customFormat="1" ht="24">
      <c r="A3" s="170" t="s">
        <v>503</v>
      </c>
      <c r="B3" s="164" t="s">
        <v>829</v>
      </c>
      <c r="C3" s="164" t="s">
        <v>800</v>
      </c>
      <c r="D3" s="204" t="s">
        <v>801</v>
      </c>
      <c r="E3" s="195" t="s">
        <v>802</v>
      </c>
      <c r="F3" s="172" t="s">
        <v>804</v>
      </c>
      <c r="G3" s="171" t="s">
        <v>799</v>
      </c>
      <c r="H3" s="169"/>
      <c r="I3" s="169"/>
      <c r="J3" s="169"/>
      <c r="K3" s="169"/>
      <c r="L3" s="169"/>
      <c r="M3" s="169"/>
      <c r="N3" s="169"/>
      <c r="O3" s="169"/>
      <c r="P3" s="169"/>
      <c r="Q3" s="169"/>
      <c r="R3" s="169"/>
      <c r="S3" s="169"/>
    </row>
    <row r="4" spans="1:7" ht="13.5">
      <c r="A4" s="170" t="s">
        <v>503</v>
      </c>
      <c r="B4" s="1" t="s">
        <v>26</v>
      </c>
      <c r="C4" s="33" t="s">
        <v>59</v>
      </c>
      <c r="D4" s="197" t="s">
        <v>128</v>
      </c>
      <c r="E4" s="173" t="s">
        <v>130</v>
      </c>
      <c r="F4" s="176">
        <v>12</v>
      </c>
      <c r="G4" s="175">
        <v>48000</v>
      </c>
    </row>
    <row r="5" spans="1:7" ht="13.5">
      <c r="A5" s="170" t="s">
        <v>503</v>
      </c>
      <c r="B5" s="1" t="s">
        <v>26</v>
      </c>
      <c r="C5" s="1" t="s">
        <v>58</v>
      </c>
      <c r="D5" s="197" t="s">
        <v>131</v>
      </c>
      <c r="E5" s="173" t="s">
        <v>805</v>
      </c>
      <c r="F5" s="176">
        <v>12</v>
      </c>
      <c r="G5" s="175">
        <v>12000</v>
      </c>
    </row>
    <row r="6" spans="1:7" ht="13.5">
      <c r="A6" s="170" t="s">
        <v>503</v>
      </c>
      <c r="B6" s="1" t="s">
        <v>26</v>
      </c>
      <c r="C6" s="1" t="s">
        <v>59</v>
      </c>
      <c r="D6" s="197" t="s">
        <v>134</v>
      </c>
      <c r="E6" s="177" t="s">
        <v>806</v>
      </c>
      <c r="F6" s="176">
        <v>12</v>
      </c>
      <c r="G6" s="175">
        <v>10800</v>
      </c>
    </row>
    <row r="7" spans="1:7" ht="13.5">
      <c r="A7" s="170" t="s">
        <v>503</v>
      </c>
      <c r="B7" s="1" t="s">
        <v>26</v>
      </c>
      <c r="C7" s="1" t="s">
        <v>58</v>
      </c>
      <c r="D7" s="197" t="s">
        <v>137</v>
      </c>
      <c r="E7" s="177" t="s">
        <v>765</v>
      </c>
      <c r="F7" s="176">
        <v>12</v>
      </c>
      <c r="G7" s="175">
        <v>7344</v>
      </c>
    </row>
    <row r="8" spans="1:7" ht="13.5">
      <c r="A8" s="170" t="s">
        <v>503</v>
      </c>
      <c r="B8" s="1" t="s">
        <v>26</v>
      </c>
      <c r="C8" s="1" t="s">
        <v>58</v>
      </c>
      <c r="D8" s="197" t="s">
        <v>140</v>
      </c>
      <c r="E8" s="177" t="s">
        <v>807</v>
      </c>
      <c r="F8" s="176">
        <v>1</v>
      </c>
      <c r="G8" s="175">
        <v>3825</v>
      </c>
    </row>
    <row r="9" spans="1:7" ht="13.5">
      <c r="A9" s="170" t="s">
        <v>503</v>
      </c>
      <c r="B9" s="1" t="s">
        <v>26</v>
      </c>
      <c r="C9" s="1" t="s">
        <v>58</v>
      </c>
      <c r="D9" s="197" t="s">
        <v>143</v>
      </c>
      <c r="E9" s="177" t="s">
        <v>160</v>
      </c>
      <c r="F9" s="176">
        <v>1</v>
      </c>
      <c r="G9" s="175">
        <v>3825</v>
      </c>
    </row>
    <row r="10" spans="1:7" ht="13.5">
      <c r="A10" s="170" t="s">
        <v>503</v>
      </c>
      <c r="B10" s="1" t="s">
        <v>26</v>
      </c>
      <c r="C10" s="1" t="s">
        <v>58</v>
      </c>
      <c r="D10" s="197" t="s">
        <v>146</v>
      </c>
      <c r="E10" s="177" t="s">
        <v>808</v>
      </c>
      <c r="F10" s="176">
        <v>1</v>
      </c>
      <c r="G10" s="175">
        <v>7650</v>
      </c>
    </row>
    <row r="11" spans="1:7" ht="13.5">
      <c r="A11" s="170" t="s">
        <v>503</v>
      </c>
      <c r="B11" s="1" t="s">
        <v>26</v>
      </c>
      <c r="C11" s="1" t="s">
        <v>58</v>
      </c>
      <c r="D11" s="197" t="s">
        <v>149</v>
      </c>
      <c r="E11" s="177" t="s">
        <v>448</v>
      </c>
      <c r="F11" s="176">
        <v>12</v>
      </c>
      <c r="G11" s="175">
        <v>2754</v>
      </c>
    </row>
    <row r="12" spans="1:19" s="180" customFormat="1" ht="13.5">
      <c r="A12" s="170" t="s">
        <v>503</v>
      </c>
      <c r="B12" s="180" t="s">
        <v>27</v>
      </c>
      <c r="C12" s="180" t="s">
        <v>852</v>
      </c>
      <c r="D12" s="198" t="s">
        <v>167</v>
      </c>
      <c r="E12" s="177" t="s">
        <v>169</v>
      </c>
      <c r="F12" s="179">
        <v>3</v>
      </c>
      <c r="G12" s="178">
        <v>12600</v>
      </c>
      <c r="H12" s="169"/>
      <c r="I12" s="169"/>
      <c r="J12" s="169"/>
      <c r="K12" s="169"/>
      <c r="L12" s="169"/>
      <c r="M12" s="169"/>
      <c r="N12" s="169"/>
      <c r="O12" s="169"/>
      <c r="P12" s="169"/>
      <c r="Q12" s="169"/>
      <c r="R12" s="169"/>
      <c r="S12" s="169"/>
    </row>
    <row r="13" spans="1:19" s="180" customFormat="1" ht="13.5">
      <c r="A13" s="170" t="s">
        <v>503</v>
      </c>
      <c r="B13" s="180" t="s">
        <v>27</v>
      </c>
      <c r="C13" s="1" t="s">
        <v>59</v>
      </c>
      <c r="D13" s="198" t="s">
        <v>170</v>
      </c>
      <c r="E13" s="177" t="s">
        <v>172</v>
      </c>
      <c r="F13" s="179">
        <v>3</v>
      </c>
      <c r="G13" s="178">
        <v>9000</v>
      </c>
      <c r="H13" s="169"/>
      <c r="I13" s="169"/>
      <c r="J13" s="169"/>
      <c r="K13" s="169"/>
      <c r="L13" s="169"/>
      <c r="M13" s="169"/>
      <c r="N13" s="169"/>
      <c r="O13" s="169"/>
      <c r="P13" s="169"/>
      <c r="Q13" s="169"/>
      <c r="R13" s="169"/>
      <c r="S13" s="169"/>
    </row>
    <row r="14" spans="1:19" s="180" customFormat="1" ht="13.5">
      <c r="A14" s="170" t="s">
        <v>503</v>
      </c>
      <c r="B14" s="180" t="s">
        <v>27</v>
      </c>
      <c r="C14" s="1" t="s">
        <v>59</v>
      </c>
      <c r="D14" s="198" t="s">
        <v>173</v>
      </c>
      <c r="E14" s="177" t="s">
        <v>175</v>
      </c>
      <c r="F14" s="179">
        <v>3</v>
      </c>
      <c r="G14" s="178">
        <v>6000</v>
      </c>
      <c r="H14" s="169"/>
      <c r="I14" s="169"/>
      <c r="J14" s="169"/>
      <c r="K14" s="169"/>
      <c r="L14" s="169"/>
      <c r="M14" s="169"/>
      <c r="N14" s="169"/>
      <c r="O14" s="169"/>
      <c r="P14" s="169"/>
      <c r="Q14" s="169"/>
      <c r="R14" s="169"/>
      <c r="S14" s="169"/>
    </row>
    <row r="15" spans="1:19" s="180" customFormat="1" ht="13.5">
      <c r="A15" s="170" t="s">
        <v>503</v>
      </c>
      <c r="B15" s="180" t="s">
        <v>27</v>
      </c>
      <c r="C15" s="1" t="s">
        <v>59</v>
      </c>
      <c r="D15" s="198" t="s">
        <v>176</v>
      </c>
      <c r="E15" s="177" t="s">
        <v>178</v>
      </c>
      <c r="F15" s="179">
        <v>1</v>
      </c>
      <c r="G15" s="178">
        <v>2200</v>
      </c>
      <c r="H15" s="169"/>
      <c r="I15" s="169"/>
      <c r="J15" s="169"/>
      <c r="K15" s="169"/>
      <c r="L15" s="169"/>
      <c r="M15" s="169"/>
      <c r="N15" s="169"/>
      <c r="O15" s="169"/>
      <c r="P15" s="169"/>
      <c r="Q15" s="169"/>
      <c r="R15" s="169"/>
      <c r="S15" s="169"/>
    </row>
    <row r="16" spans="1:19" s="180" customFormat="1" ht="13.5">
      <c r="A16" s="170" t="s">
        <v>503</v>
      </c>
      <c r="B16" s="180" t="s">
        <v>27</v>
      </c>
      <c r="C16" s="1" t="s">
        <v>59</v>
      </c>
      <c r="D16" s="198" t="s">
        <v>180</v>
      </c>
      <c r="E16" s="177" t="s">
        <v>182</v>
      </c>
      <c r="F16" s="179">
        <v>20</v>
      </c>
      <c r="G16" s="178">
        <v>440</v>
      </c>
      <c r="H16" s="169"/>
      <c r="I16" s="169"/>
      <c r="J16" s="169"/>
      <c r="K16" s="169"/>
      <c r="L16" s="169"/>
      <c r="M16" s="169"/>
      <c r="N16" s="169"/>
      <c r="O16" s="169"/>
      <c r="P16" s="169"/>
      <c r="Q16" s="169"/>
      <c r="R16" s="169"/>
      <c r="S16" s="169"/>
    </row>
    <row r="17" spans="1:19" s="180" customFormat="1" ht="13.5">
      <c r="A17" s="170" t="s">
        <v>503</v>
      </c>
      <c r="B17" s="180" t="s">
        <v>27</v>
      </c>
      <c r="C17" s="180" t="s">
        <v>852</v>
      </c>
      <c r="D17" s="198" t="s">
        <v>184</v>
      </c>
      <c r="E17" s="177" t="s">
        <v>186</v>
      </c>
      <c r="F17" s="179">
        <v>20</v>
      </c>
      <c r="G17" s="178">
        <v>2800</v>
      </c>
      <c r="H17" s="169"/>
      <c r="I17" s="169"/>
      <c r="J17" s="169"/>
      <c r="K17" s="169"/>
      <c r="L17" s="169"/>
      <c r="M17" s="169"/>
      <c r="N17" s="169"/>
      <c r="O17" s="169"/>
      <c r="P17" s="169"/>
      <c r="Q17" s="169"/>
      <c r="R17" s="169"/>
      <c r="S17" s="169"/>
    </row>
    <row r="18" spans="1:19" s="182" customFormat="1" ht="13.5">
      <c r="A18" s="170" t="s">
        <v>503</v>
      </c>
      <c r="B18" s="182" t="s">
        <v>28</v>
      </c>
      <c r="C18" s="182" t="s">
        <v>48</v>
      </c>
      <c r="D18" s="197" t="s">
        <v>187</v>
      </c>
      <c r="E18" s="177" t="s">
        <v>189</v>
      </c>
      <c r="F18" s="179">
        <v>11</v>
      </c>
      <c r="G18" s="178">
        <v>35200</v>
      </c>
      <c r="H18" s="181"/>
      <c r="I18" s="181"/>
      <c r="J18" s="181"/>
      <c r="K18" s="181"/>
      <c r="L18" s="181"/>
      <c r="M18" s="181"/>
      <c r="N18" s="181"/>
      <c r="O18" s="181"/>
      <c r="P18" s="181"/>
      <c r="Q18" s="181"/>
      <c r="R18" s="181"/>
      <c r="S18" s="181"/>
    </row>
    <row r="19" spans="1:19" s="182" customFormat="1" ht="13.5">
      <c r="A19" s="170" t="s">
        <v>503</v>
      </c>
      <c r="B19" s="191" t="s">
        <v>34</v>
      </c>
      <c r="C19" s="182" t="s">
        <v>48</v>
      </c>
      <c r="D19" s="197" t="s">
        <v>190</v>
      </c>
      <c r="E19" s="177" t="s">
        <v>809</v>
      </c>
      <c r="F19" s="179">
        <v>12</v>
      </c>
      <c r="G19" s="178">
        <v>3600</v>
      </c>
      <c r="H19" s="181"/>
      <c r="I19" s="181"/>
      <c r="J19" s="181"/>
      <c r="K19" s="181"/>
      <c r="L19" s="181"/>
      <c r="M19" s="181"/>
      <c r="N19" s="181"/>
      <c r="O19" s="181"/>
      <c r="P19" s="181"/>
      <c r="Q19" s="181"/>
      <c r="R19" s="181"/>
      <c r="S19" s="181"/>
    </row>
    <row r="20" spans="1:19" s="182" customFormat="1" ht="13.5">
      <c r="A20" s="170" t="s">
        <v>503</v>
      </c>
      <c r="B20" s="191" t="s">
        <v>34</v>
      </c>
      <c r="C20" s="182" t="s">
        <v>48</v>
      </c>
      <c r="D20" s="197" t="s">
        <v>193</v>
      </c>
      <c r="E20" s="177" t="s">
        <v>195</v>
      </c>
      <c r="F20" s="179">
        <v>12</v>
      </c>
      <c r="G20" s="178">
        <v>7200</v>
      </c>
      <c r="H20" s="181"/>
      <c r="I20" s="181"/>
      <c r="J20" s="181"/>
      <c r="K20" s="181"/>
      <c r="L20" s="181"/>
      <c r="M20" s="181"/>
      <c r="N20" s="181"/>
      <c r="O20" s="181"/>
      <c r="P20" s="181"/>
      <c r="Q20" s="181"/>
      <c r="R20" s="181"/>
      <c r="S20" s="181"/>
    </row>
    <row r="21" spans="1:19" s="180" customFormat="1" ht="13.5">
      <c r="A21" s="170" t="s">
        <v>503</v>
      </c>
      <c r="B21" s="180" t="s">
        <v>28</v>
      </c>
      <c r="C21" s="182" t="s">
        <v>48</v>
      </c>
      <c r="D21" s="197" t="s">
        <v>196</v>
      </c>
      <c r="E21" s="177" t="s">
        <v>810</v>
      </c>
      <c r="F21" s="179">
        <v>250</v>
      </c>
      <c r="G21" s="178">
        <v>12500</v>
      </c>
      <c r="H21" s="169"/>
      <c r="I21" s="169"/>
      <c r="J21" s="169"/>
      <c r="K21" s="169"/>
      <c r="L21" s="169"/>
      <c r="M21" s="169"/>
      <c r="N21" s="169"/>
      <c r="O21" s="169"/>
      <c r="P21" s="169"/>
      <c r="Q21" s="169"/>
      <c r="R21" s="169"/>
      <c r="S21" s="169"/>
    </row>
    <row r="22" spans="1:19" s="180" customFormat="1" ht="13.5">
      <c r="A22" s="170" t="s">
        <v>503</v>
      </c>
      <c r="B22" s="180" t="s">
        <v>26</v>
      </c>
      <c r="C22" s="182" t="s">
        <v>48</v>
      </c>
      <c r="D22" s="197" t="s">
        <v>199</v>
      </c>
      <c r="E22" s="177" t="s">
        <v>811</v>
      </c>
      <c r="F22" s="179">
        <v>12</v>
      </c>
      <c r="G22" s="178">
        <v>28800</v>
      </c>
      <c r="H22" s="169"/>
      <c r="I22" s="169"/>
      <c r="J22" s="169"/>
      <c r="K22" s="169"/>
      <c r="L22" s="169"/>
      <c r="M22" s="169"/>
      <c r="N22" s="169"/>
      <c r="O22" s="169"/>
      <c r="P22" s="169"/>
      <c r="Q22" s="169"/>
      <c r="R22" s="169"/>
      <c r="S22" s="169"/>
    </row>
    <row r="23" spans="1:19" s="180" customFormat="1" ht="13.5">
      <c r="A23" s="170" t="s">
        <v>503</v>
      </c>
      <c r="B23" s="180" t="s">
        <v>26</v>
      </c>
      <c r="C23" s="182" t="s">
        <v>48</v>
      </c>
      <c r="D23" s="197" t="s">
        <v>202</v>
      </c>
      <c r="E23" s="177" t="s">
        <v>812</v>
      </c>
      <c r="F23" s="179">
        <v>12</v>
      </c>
      <c r="G23" s="178">
        <v>5400</v>
      </c>
      <c r="H23" s="169"/>
      <c r="I23" s="169"/>
      <c r="J23" s="169"/>
      <c r="K23" s="169"/>
      <c r="L23" s="169"/>
      <c r="M23" s="169"/>
      <c r="N23" s="169"/>
      <c r="O23" s="169"/>
      <c r="P23" s="169"/>
      <c r="Q23" s="169"/>
      <c r="R23" s="169"/>
      <c r="S23" s="169"/>
    </row>
    <row r="24" spans="1:19" s="180" customFormat="1" ht="13.5">
      <c r="A24" s="170" t="s">
        <v>503</v>
      </c>
      <c r="B24" s="180" t="s">
        <v>28</v>
      </c>
      <c r="C24" s="182" t="s">
        <v>48</v>
      </c>
      <c r="D24" s="197" t="s">
        <v>205</v>
      </c>
      <c r="E24" s="177" t="s">
        <v>207</v>
      </c>
      <c r="F24" s="179">
        <v>12</v>
      </c>
      <c r="G24" s="178">
        <v>12000</v>
      </c>
      <c r="H24" s="169"/>
      <c r="I24" s="169"/>
      <c r="J24" s="169"/>
      <c r="K24" s="169"/>
      <c r="L24" s="169"/>
      <c r="M24" s="169"/>
      <c r="N24" s="169"/>
      <c r="O24" s="169"/>
      <c r="P24" s="169"/>
      <c r="Q24" s="169"/>
      <c r="R24" s="169"/>
      <c r="S24" s="169"/>
    </row>
    <row r="25" spans="1:19" s="180" customFormat="1" ht="13.5">
      <c r="A25" s="170" t="s">
        <v>503</v>
      </c>
      <c r="B25" s="180" t="s">
        <v>28</v>
      </c>
      <c r="C25" s="182" t="s">
        <v>48</v>
      </c>
      <c r="D25" s="197" t="s">
        <v>208</v>
      </c>
      <c r="E25" s="177" t="s">
        <v>210</v>
      </c>
      <c r="F25" s="179">
        <v>4</v>
      </c>
      <c r="G25" s="178">
        <v>4000</v>
      </c>
      <c r="H25" s="169"/>
      <c r="I25" s="169"/>
      <c r="J25" s="169"/>
      <c r="K25" s="169"/>
      <c r="L25" s="169"/>
      <c r="M25" s="169"/>
      <c r="N25" s="169"/>
      <c r="O25" s="169"/>
      <c r="P25" s="169"/>
      <c r="Q25" s="169"/>
      <c r="R25" s="169"/>
      <c r="S25" s="169"/>
    </row>
    <row r="26" spans="1:19" s="180" customFormat="1" ht="13.5">
      <c r="A26" s="170" t="s">
        <v>503</v>
      </c>
      <c r="B26" s="180" t="s">
        <v>28</v>
      </c>
      <c r="C26" s="182" t="s">
        <v>48</v>
      </c>
      <c r="D26" s="199" t="s">
        <v>211</v>
      </c>
      <c r="E26" s="177" t="s">
        <v>213</v>
      </c>
      <c r="F26" s="179">
        <v>4</v>
      </c>
      <c r="G26" s="178">
        <v>2000</v>
      </c>
      <c r="H26" s="169"/>
      <c r="I26" s="169"/>
      <c r="J26" s="169"/>
      <c r="K26" s="169"/>
      <c r="L26" s="169"/>
      <c r="M26" s="169"/>
      <c r="N26" s="169"/>
      <c r="O26" s="169"/>
      <c r="P26" s="169"/>
      <c r="Q26" s="169"/>
      <c r="R26" s="169"/>
      <c r="S26" s="169"/>
    </row>
    <row r="27" spans="1:19" s="180" customFormat="1" ht="13.5">
      <c r="A27" s="170" t="s">
        <v>503</v>
      </c>
      <c r="B27" s="180" t="s">
        <v>28</v>
      </c>
      <c r="C27" s="182" t="s">
        <v>48</v>
      </c>
      <c r="D27" s="199" t="s">
        <v>214</v>
      </c>
      <c r="E27" s="177" t="s">
        <v>813</v>
      </c>
      <c r="F27" s="179">
        <v>150</v>
      </c>
      <c r="G27" s="178">
        <v>7500</v>
      </c>
      <c r="H27" s="169"/>
      <c r="I27" s="169"/>
      <c r="J27" s="169"/>
      <c r="K27" s="169"/>
      <c r="L27" s="169"/>
      <c r="M27" s="169"/>
      <c r="N27" s="169"/>
      <c r="O27" s="169"/>
      <c r="P27" s="169"/>
      <c r="Q27" s="169"/>
      <c r="R27" s="169"/>
      <c r="S27" s="169"/>
    </row>
    <row r="28" spans="1:7" ht="13.5">
      <c r="A28" s="170" t="s">
        <v>503</v>
      </c>
      <c r="B28" s="1" t="s">
        <v>33</v>
      </c>
      <c r="C28" s="258" t="s">
        <v>854</v>
      </c>
      <c r="D28" s="200" t="s">
        <v>251</v>
      </c>
      <c r="E28" s="177" t="s">
        <v>814</v>
      </c>
      <c r="F28" s="176">
        <v>12</v>
      </c>
      <c r="G28" s="183">
        <v>2400</v>
      </c>
    </row>
    <row r="29" spans="1:7" ht="13.5">
      <c r="A29" s="170" t="s">
        <v>503</v>
      </c>
      <c r="B29" s="1" t="s">
        <v>33</v>
      </c>
      <c r="C29" s="258" t="s">
        <v>854</v>
      </c>
      <c r="D29" s="200" t="s">
        <v>254</v>
      </c>
      <c r="E29" s="177" t="s">
        <v>256</v>
      </c>
      <c r="F29" s="176">
        <v>12</v>
      </c>
      <c r="G29" s="183">
        <v>6000</v>
      </c>
    </row>
    <row r="30" spans="1:7" ht="13.5">
      <c r="A30" s="170" t="s">
        <v>503</v>
      </c>
      <c r="B30" s="1" t="s">
        <v>33</v>
      </c>
      <c r="C30" s="258" t="s">
        <v>854</v>
      </c>
      <c r="D30" s="200" t="s">
        <v>257</v>
      </c>
      <c r="E30" s="177" t="s">
        <v>815</v>
      </c>
      <c r="F30" s="176">
        <v>12</v>
      </c>
      <c r="G30" s="183">
        <v>9600</v>
      </c>
    </row>
    <row r="31" spans="1:7" ht="13.5">
      <c r="A31" s="170" t="s">
        <v>503</v>
      </c>
      <c r="B31" s="1" t="s">
        <v>33</v>
      </c>
      <c r="C31" s="258" t="s">
        <v>854</v>
      </c>
      <c r="D31" s="200" t="s">
        <v>260</v>
      </c>
      <c r="E31" s="177" t="s">
        <v>259</v>
      </c>
      <c r="F31" s="176">
        <v>10</v>
      </c>
      <c r="G31" s="183">
        <v>32000</v>
      </c>
    </row>
    <row r="32" spans="1:7" ht="13.5">
      <c r="A32" s="170" t="s">
        <v>503</v>
      </c>
      <c r="B32" s="1" t="s">
        <v>33</v>
      </c>
      <c r="C32" s="258" t="s">
        <v>854</v>
      </c>
      <c r="D32" s="200" t="s">
        <v>263</v>
      </c>
      <c r="E32" s="177" t="s">
        <v>816</v>
      </c>
      <c r="F32" s="176">
        <v>12</v>
      </c>
      <c r="G32" s="183">
        <v>12000</v>
      </c>
    </row>
    <row r="33" spans="1:7" ht="13.5">
      <c r="A33" s="170" t="s">
        <v>503</v>
      </c>
      <c r="B33" s="1" t="s">
        <v>33</v>
      </c>
      <c r="C33" s="258" t="s">
        <v>854</v>
      </c>
      <c r="D33" s="200" t="s">
        <v>266</v>
      </c>
      <c r="E33" s="177" t="s">
        <v>817</v>
      </c>
      <c r="F33" s="176">
        <v>12</v>
      </c>
      <c r="G33" s="183">
        <v>6000</v>
      </c>
    </row>
    <row r="34" spans="1:7" ht="13.5">
      <c r="A34" s="170" t="s">
        <v>503</v>
      </c>
      <c r="B34" s="191" t="s">
        <v>34</v>
      </c>
      <c r="C34" s="189" t="s">
        <v>59</v>
      </c>
      <c r="D34" s="201" t="s">
        <v>284</v>
      </c>
      <c r="E34" s="210" t="s">
        <v>818</v>
      </c>
      <c r="F34" s="184"/>
      <c r="G34" s="183">
        <v>0</v>
      </c>
    </row>
    <row r="35" spans="1:7" ht="13.5">
      <c r="A35" s="170" t="s">
        <v>503</v>
      </c>
      <c r="B35" s="191" t="s">
        <v>34</v>
      </c>
      <c r="C35" s="189" t="s">
        <v>59</v>
      </c>
      <c r="D35" s="201" t="s">
        <v>122</v>
      </c>
      <c r="E35" s="210" t="s">
        <v>696</v>
      </c>
      <c r="F35" s="184">
        <v>12</v>
      </c>
      <c r="G35" s="183">
        <v>6000</v>
      </c>
    </row>
    <row r="36" spans="1:7" ht="13.5">
      <c r="A36" s="170" t="s">
        <v>503</v>
      </c>
      <c r="B36" s="189" t="s">
        <v>31</v>
      </c>
      <c r="C36" s="189" t="s">
        <v>59</v>
      </c>
      <c r="D36" s="201" t="s">
        <v>287</v>
      </c>
      <c r="E36" s="210" t="s">
        <v>478</v>
      </c>
      <c r="F36" s="184">
        <v>1</v>
      </c>
      <c r="G36" s="183">
        <v>1000</v>
      </c>
    </row>
    <row r="37" spans="1:7" ht="13.5">
      <c r="A37" s="170" t="s">
        <v>503</v>
      </c>
      <c r="B37" s="191" t="s">
        <v>34</v>
      </c>
      <c r="C37" s="189" t="s">
        <v>59</v>
      </c>
      <c r="D37" s="201" t="s">
        <v>290</v>
      </c>
      <c r="E37" s="210" t="s">
        <v>781</v>
      </c>
      <c r="F37" s="184">
        <v>12</v>
      </c>
      <c r="G37" s="183">
        <v>2400</v>
      </c>
    </row>
    <row r="38" spans="1:7" ht="13.5">
      <c r="A38" s="170" t="s">
        <v>503</v>
      </c>
      <c r="B38" s="189" t="s">
        <v>31</v>
      </c>
      <c r="C38" s="189" t="s">
        <v>59</v>
      </c>
      <c r="D38" s="201" t="s">
        <v>293</v>
      </c>
      <c r="E38" s="210" t="s">
        <v>702</v>
      </c>
      <c r="F38" s="184">
        <v>1</v>
      </c>
      <c r="G38" s="183">
        <v>1000</v>
      </c>
    </row>
    <row r="39" spans="1:7" ht="13.5">
      <c r="A39" s="170" t="s">
        <v>503</v>
      </c>
      <c r="B39" s="189" t="s">
        <v>31</v>
      </c>
      <c r="C39" s="189" t="s">
        <v>59</v>
      </c>
      <c r="D39" s="202" t="s">
        <v>296</v>
      </c>
      <c r="E39" s="211" t="s">
        <v>819</v>
      </c>
      <c r="F39" s="185"/>
      <c r="G39" s="183">
        <v>0</v>
      </c>
    </row>
    <row r="40" spans="1:20" s="188" customFormat="1" ht="13.5">
      <c r="A40" s="170" t="s">
        <v>503</v>
      </c>
      <c r="B40" s="191" t="s">
        <v>34</v>
      </c>
      <c r="C40" s="189" t="s">
        <v>59</v>
      </c>
      <c r="D40" s="197" t="s">
        <v>299</v>
      </c>
      <c r="E40" s="177" t="s">
        <v>328</v>
      </c>
      <c r="F40" s="186">
        <v>12</v>
      </c>
      <c r="G40" s="183">
        <v>2400</v>
      </c>
      <c r="H40" s="169"/>
      <c r="I40" s="169"/>
      <c r="J40" s="169"/>
      <c r="K40" s="169"/>
      <c r="L40" s="169"/>
      <c r="M40" s="169"/>
      <c r="N40" s="169"/>
      <c r="O40" s="169"/>
      <c r="P40" s="169"/>
      <c r="Q40" s="169"/>
      <c r="R40" s="169"/>
      <c r="S40" s="169"/>
      <c r="T40" s="187"/>
    </row>
    <row r="41" spans="1:7" ht="13.5">
      <c r="A41" s="170" t="s">
        <v>503</v>
      </c>
      <c r="B41" s="1" t="s">
        <v>32</v>
      </c>
      <c r="C41" s="258" t="s">
        <v>855</v>
      </c>
      <c r="D41" s="201" t="s">
        <v>329</v>
      </c>
      <c r="E41" s="210" t="s">
        <v>331</v>
      </c>
      <c r="F41" s="184">
        <v>200</v>
      </c>
      <c r="G41" s="183">
        <v>10000</v>
      </c>
    </row>
    <row r="42" spans="1:7" ht="13.5">
      <c r="A42" s="170" t="s">
        <v>503</v>
      </c>
      <c r="B42" s="1" t="s">
        <v>32</v>
      </c>
      <c r="C42" s="258" t="s">
        <v>855</v>
      </c>
      <c r="D42" s="201" t="s">
        <v>332</v>
      </c>
      <c r="E42" s="210" t="s">
        <v>93</v>
      </c>
      <c r="F42" s="184">
        <v>12</v>
      </c>
      <c r="G42" s="183">
        <v>2400</v>
      </c>
    </row>
    <row r="43" spans="1:7" ht="13.5">
      <c r="A43" s="170" t="s">
        <v>503</v>
      </c>
      <c r="B43" s="180" t="s">
        <v>26</v>
      </c>
      <c r="C43" s="33" t="s">
        <v>58</v>
      </c>
      <c r="D43" s="201" t="s">
        <v>341</v>
      </c>
      <c r="E43" s="210" t="s">
        <v>820</v>
      </c>
      <c r="F43" s="184">
        <v>12</v>
      </c>
      <c r="G43" s="183">
        <v>25200</v>
      </c>
    </row>
    <row r="44" spans="1:7" ht="13.5">
      <c r="A44" s="170" t="s">
        <v>503</v>
      </c>
      <c r="B44" s="1" t="s">
        <v>8</v>
      </c>
      <c r="C44" s="33" t="s">
        <v>58</v>
      </c>
      <c r="D44" s="201" t="s">
        <v>344</v>
      </c>
      <c r="E44" s="210" t="s">
        <v>821</v>
      </c>
      <c r="F44" s="184">
        <v>6</v>
      </c>
      <c r="G44" s="183">
        <v>900</v>
      </c>
    </row>
    <row r="45" spans="1:19" s="182" customFormat="1" ht="13.5">
      <c r="A45" s="170" t="s">
        <v>503</v>
      </c>
      <c r="B45" s="1" t="s">
        <v>8</v>
      </c>
      <c r="C45" s="33" t="s">
        <v>58</v>
      </c>
      <c r="D45" s="201" t="s">
        <v>347</v>
      </c>
      <c r="E45" s="177" t="s">
        <v>822</v>
      </c>
      <c r="F45" s="184">
        <v>12</v>
      </c>
      <c r="G45" s="184">
        <v>12000</v>
      </c>
      <c r="H45" s="181"/>
      <c r="I45" s="181"/>
      <c r="J45" s="181"/>
      <c r="K45" s="181"/>
      <c r="L45" s="181"/>
      <c r="M45" s="181"/>
      <c r="N45" s="181"/>
      <c r="O45" s="181"/>
      <c r="P45" s="181"/>
      <c r="Q45" s="181"/>
      <c r="R45" s="181"/>
      <c r="S45" s="181"/>
    </row>
    <row r="46" spans="1:19" s="182" customFormat="1" ht="13.5">
      <c r="A46" s="170" t="s">
        <v>503</v>
      </c>
      <c r="B46" s="1" t="s">
        <v>8</v>
      </c>
      <c r="C46" s="33" t="s">
        <v>58</v>
      </c>
      <c r="D46" s="201" t="s">
        <v>351</v>
      </c>
      <c r="E46" s="210" t="s">
        <v>259</v>
      </c>
      <c r="F46" s="184">
        <v>9</v>
      </c>
      <c r="G46" s="184">
        <v>28800</v>
      </c>
      <c r="H46" s="181"/>
      <c r="I46" s="181"/>
      <c r="J46" s="181"/>
      <c r="K46" s="181"/>
      <c r="L46" s="181"/>
      <c r="M46" s="181"/>
      <c r="N46" s="181"/>
      <c r="O46" s="181"/>
      <c r="P46" s="181"/>
      <c r="Q46" s="181"/>
      <c r="R46" s="181"/>
      <c r="S46" s="181"/>
    </row>
    <row r="47" spans="1:19" s="182" customFormat="1" ht="13.5">
      <c r="A47" s="170" t="s">
        <v>503</v>
      </c>
      <c r="B47" s="1" t="s">
        <v>8</v>
      </c>
      <c r="C47" s="257" t="s">
        <v>44</v>
      </c>
      <c r="D47" s="201" t="s">
        <v>354</v>
      </c>
      <c r="E47" s="210" t="s">
        <v>356</v>
      </c>
      <c r="F47" s="184">
        <v>12</v>
      </c>
      <c r="G47" s="184">
        <v>2961.6000000000004</v>
      </c>
      <c r="H47" s="181"/>
      <c r="I47" s="181"/>
      <c r="J47" s="181"/>
      <c r="K47" s="181"/>
      <c r="L47" s="181"/>
      <c r="M47" s="181"/>
      <c r="N47" s="181"/>
      <c r="O47" s="181"/>
      <c r="P47" s="181"/>
      <c r="Q47" s="181"/>
      <c r="R47" s="181"/>
      <c r="S47" s="181"/>
    </row>
    <row r="48" spans="1:7" ht="13.5">
      <c r="A48" s="170" t="s">
        <v>503</v>
      </c>
      <c r="B48" s="1" t="s">
        <v>8</v>
      </c>
      <c r="C48" s="189" t="s">
        <v>59</v>
      </c>
      <c r="D48" s="201" t="s">
        <v>357</v>
      </c>
      <c r="E48" s="210" t="s">
        <v>359</v>
      </c>
      <c r="F48" s="184">
        <v>2</v>
      </c>
      <c r="G48" s="183">
        <v>4400</v>
      </c>
    </row>
    <row r="49" spans="1:7" ht="13.5">
      <c r="A49" s="170" t="s">
        <v>503</v>
      </c>
      <c r="B49" s="180" t="s">
        <v>26</v>
      </c>
      <c r="C49" s="189" t="s">
        <v>59</v>
      </c>
      <c r="D49" s="201" t="s">
        <v>381</v>
      </c>
      <c r="E49" s="210" t="s">
        <v>739</v>
      </c>
      <c r="F49" s="184">
        <v>330</v>
      </c>
      <c r="G49" s="183">
        <v>7260</v>
      </c>
    </row>
    <row r="50" spans="1:7" ht="13.5">
      <c r="A50" s="170" t="s">
        <v>503</v>
      </c>
      <c r="B50" s="180" t="s">
        <v>26</v>
      </c>
      <c r="C50" s="189" t="s">
        <v>59</v>
      </c>
      <c r="D50" s="201" t="s">
        <v>385</v>
      </c>
      <c r="E50" s="210" t="s">
        <v>387</v>
      </c>
      <c r="F50" s="184">
        <v>4</v>
      </c>
      <c r="G50" s="183">
        <v>200</v>
      </c>
    </row>
    <row r="51" spans="1:7" ht="13.5">
      <c r="A51" s="170" t="s">
        <v>503</v>
      </c>
      <c r="B51" s="180" t="s">
        <v>26</v>
      </c>
      <c r="C51" s="189" t="s">
        <v>59</v>
      </c>
      <c r="D51" s="201" t="s">
        <v>388</v>
      </c>
      <c r="E51" s="210" t="s">
        <v>390</v>
      </c>
      <c r="F51" s="184">
        <v>12</v>
      </c>
      <c r="G51" s="183">
        <v>1200</v>
      </c>
    </row>
    <row r="52" spans="1:7" ht="13.5">
      <c r="A52" s="170" t="s">
        <v>503</v>
      </c>
      <c r="B52" s="180" t="s">
        <v>26</v>
      </c>
      <c r="C52" s="189" t="s">
        <v>59</v>
      </c>
      <c r="D52" s="201" t="s">
        <v>391</v>
      </c>
      <c r="E52" s="210" t="s">
        <v>393</v>
      </c>
      <c r="F52" s="184">
        <v>2</v>
      </c>
      <c r="G52" s="183">
        <v>1070</v>
      </c>
    </row>
    <row r="53" spans="1:7" ht="13.5">
      <c r="A53" s="170" t="s">
        <v>503</v>
      </c>
      <c r="B53" s="180" t="s">
        <v>26</v>
      </c>
      <c r="C53" s="189" t="s">
        <v>59</v>
      </c>
      <c r="D53" s="201" t="s">
        <v>395</v>
      </c>
      <c r="E53" s="210" t="s">
        <v>397</v>
      </c>
      <c r="F53" s="184">
        <v>1</v>
      </c>
      <c r="G53" s="183">
        <v>300</v>
      </c>
    </row>
    <row r="54" spans="1:7" ht="13.5">
      <c r="A54" s="170" t="s">
        <v>503</v>
      </c>
      <c r="B54" s="180" t="s">
        <v>26</v>
      </c>
      <c r="C54" s="189" t="s">
        <v>59</v>
      </c>
      <c r="D54" s="201" t="s">
        <v>398</v>
      </c>
      <c r="E54" s="210" t="s">
        <v>400</v>
      </c>
      <c r="F54" s="184">
        <v>12</v>
      </c>
      <c r="G54" s="183">
        <v>720</v>
      </c>
    </row>
    <row r="55" spans="1:7" ht="13.5">
      <c r="A55" s="170" t="s">
        <v>503</v>
      </c>
      <c r="B55" s="180" t="s">
        <v>34</v>
      </c>
      <c r="C55" s="189" t="s">
        <v>59</v>
      </c>
      <c r="D55" s="201" t="s">
        <v>113</v>
      </c>
      <c r="E55" s="210" t="s">
        <v>823</v>
      </c>
      <c r="F55" s="184">
        <v>12</v>
      </c>
      <c r="G55" s="183">
        <v>7200</v>
      </c>
    </row>
    <row r="56" spans="1:7" ht="13.5">
      <c r="A56" s="170" t="s">
        <v>503</v>
      </c>
      <c r="B56" s="1" t="s">
        <v>34</v>
      </c>
      <c r="C56" s="189" t="s">
        <v>59</v>
      </c>
      <c r="D56" s="201" t="s">
        <v>104</v>
      </c>
      <c r="E56" s="210" t="s">
        <v>106</v>
      </c>
      <c r="F56" s="184">
        <v>12</v>
      </c>
      <c r="G56" s="183">
        <v>600</v>
      </c>
    </row>
    <row r="57" spans="1:7" ht="13.5">
      <c r="A57" s="170" t="s">
        <v>503</v>
      </c>
      <c r="B57" s="1" t="s">
        <v>34</v>
      </c>
      <c r="C57" s="189" t="s">
        <v>59</v>
      </c>
      <c r="D57" s="202" t="s">
        <v>101</v>
      </c>
      <c r="E57" s="211" t="s">
        <v>824</v>
      </c>
      <c r="F57" s="185">
        <v>1</v>
      </c>
      <c r="G57" s="183">
        <v>1000</v>
      </c>
    </row>
    <row r="58" spans="1:20" s="188" customFormat="1" ht="13.5">
      <c r="A58" s="170" t="s">
        <v>503</v>
      </c>
      <c r="B58" s="191" t="s">
        <v>34</v>
      </c>
      <c r="C58" s="189" t="s">
        <v>59</v>
      </c>
      <c r="D58" s="197" t="s">
        <v>401</v>
      </c>
      <c r="E58" s="177" t="s">
        <v>809</v>
      </c>
      <c r="F58" s="186">
        <v>5</v>
      </c>
      <c r="G58" s="183">
        <v>4500</v>
      </c>
      <c r="H58" s="169"/>
      <c r="I58" s="169"/>
      <c r="J58" s="169"/>
      <c r="K58" s="169"/>
      <c r="L58" s="169"/>
      <c r="M58" s="169"/>
      <c r="N58" s="169"/>
      <c r="O58" s="169"/>
      <c r="P58" s="169"/>
      <c r="Q58" s="169"/>
      <c r="R58" s="169"/>
      <c r="S58" s="169"/>
      <c r="T58" s="187"/>
    </row>
    <row r="59" spans="1:20" s="188" customFormat="1" ht="13.5">
      <c r="A59" s="170" t="s">
        <v>503</v>
      </c>
      <c r="B59" s="191" t="s">
        <v>34</v>
      </c>
      <c r="C59" s="189" t="s">
        <v>59</v>
      </c>
      <c r="D59" s="197" t="s">
        <v>404</v>
      </c>
      <c r="E59" s="177" t="s">
        <v>825</v>
      </c>
      <c r="F59" s="186">
        <v>5</v>
      </c>
      <c r="G59" s="183">
        <v>3000</v>
      </c>
      <c r="H59" s="169"/>
      <c r="I59" s="169"/>
      <c r="J59" s="169"/>
      <c r="K59" s="169"/>
      <c r="L59" s="169"/>
      <c r="M59" s="169"/>
      <c r="N59" s="169"/>
      <c r="O59" s="169"/>
      <c r="P59" s="169"/>
      <c r="Q59" s="169"/>
      <c r="R59" s="169"/>
      <c r="S59" s="169"/>
      <c r="T59" s="187"/>
    </row>
    <row r="60" spans="1:20" s="188" customFormat="1" ht="13.5">
      <c r="A60" s="170" t="s">
        <v>503</v>
      </c>
      <c r="B60" s="188" t="s">
        <v>28</v>
      </c>
      <c r="C60" s="180" t="s">
        <v>852</v>
      </c>
      <c r="D60" s="197" t="s">
        <v>98</v>
      </c>
      <c r="E60" s="177" t="s">
        <v>826</v>
      </c>
      <c r="F60" s="174">
        <v>3</v>
      </c>
      <c r="G60" s="174">
        <v>9000</v>
      </c>
      <c r="H60" s="169"/>
      <c r="I60" s="169"/>
      <c r="J60" s="169"/>
      <c r="K60" s="169"/>
      <c r="L60" s="169"/>
      <c r="M60" s="169"/>
      <c r="N60" s="169"/>
      <c r="O60" s="169"/>
      <c r="P60" s="169"/>
      <c r="Q60" s="169"/>
      <c r="R60" s="169"/>
      <c r="S60" s="169"/>
      <c r="T60" s="187"/>
    </row>
    <row r="61" spans="1:7" ht="13.5">
      <c r="A61" s="170" t="s">
        <v>503</v>
      </c>
      <c r="B61" s="1" t="s">
        <v>35</v>
      </c>
      <c r="C61" s="189" t="s">
        <v>59</v>
      </c>
      <c r="D61" s="201" t="s">
        <v>419</v>
      </c>
      <c r="E61" s="210" t="s">
        <v>827</v>
      </c>
      <c r="F61" s="184"/>
      <c r="G61" s="183">
        <v>31566.472</v>
      </c>
    </row>
    <row r="62" ht="13.5">
      <c r="A62" s="170" t="s">
        <v>503</v>
      </c>
    </row>
    <row r="63" ht="13.5">
      <c r="A63" s="170" t="s">
        <v>503</v>
      </c>
    </row>
    <row r="64" ht="13.5">
      <c r="A64" s="170" t="s">
        <v>503</v>
      </c>
    </row>
    <row r="65" ht="13.5">
      <c r="A65" s="170" t="s">
        <v>503</v>
      </c>
    </row>
    <row r="66" ht="13.5">
      <c r="A66" s="170" t="s">
        <v>503</v>
      </c>
    </row>
    <row r="67" ht="13.5">
      <c r="A67" s="170" t="s">
        <v>503</v>
      </c>
    </row>
    <row r="68" ht="13.5">
      <c r="A68" s="170" t="s">
        <v>503</v>
      </c>
    </row>
    <row r="69" ht="13.5">
      <c r="A69" s="170" t="s">
        <v>503</v>
      </c>
    </row>
    <row r="70" ht="13.5">
      <c r="A70" s="170" t="s">
        <v>503</v>
      </c>
    </row>
    <row r="71" ht="13.5">
      <c r="A71" s="170" t="s">
        <v>503</v>
      </c>
    </row>
    <row r="72" ht="13.5">
      <c r="A72" s="170" t="s">
        <v>503</v>
      </c>
    </row>
    <row r="73" ht="13.5">
      <c r="A73" s="170" t="s">
        <v>503</v>
      </c>
    </row>
    <row r="74" ht="13.5">
      <c r="A74" s="170" t="s">
        <v>503</v>
      </c>
    </row>
    <row r="75" ht="13.5">
      <c r="A75" s="170" t="s">
        <v>503</v>
      </c>
    </row>
    <row r="76" ht="13.5">
      <c r="A76" s="170" t="s">
        <v>503</v>
      </c>
    </row>
    <row r="77" ht="13.5">
      <c r="A77" s="170" t="s">
        <v>503</v>
      </c>
    </row>
    <row r="78" ht="13.5">
      <c r="A78" s="170" t="s">
        <v>503</v>
      </c>
    </row>
    <row r="79" ht="13.5">
      <c r="A79" s="170" t="s">
        <v>503</v>
      </c>
    </row>
    <row r="80" ht="13.5">
      <c r="A80" s="170" t="s">
        <v>503</v>
      </c>
    </row>
    <row r="81" ht="13.5">
      <c r="A81" s="170" t="s">
        <v>503</v>
      </c>
    </row>
    <row r="82" ht="13.5">
      <c r="A82" s="170" t="s">
        <v>503</v>
      </c>
    </row>
    <row r="83" ht="13.5">
      <c r="A83" s="170" t="s">
        <v>503</v>
      </c>
    </row>
    <row r="84" ht="13.5">
      <c r="A84" s="170" t="s">
        <v>503</v>
      </c>
    </row>
    <row r="85" ht="13.5">
      <c r="A85" s="170" t="s">
        <v>503</v>
      </c>
    </row>
    <row r="86" ht="13.5">
      <c r="A86" s="170" t="s">
        <v>503</v>
      </c>
    </row>
    <row r="87" ht="13.5">
      <c r="A87" s="170" t="s">
        <v>503</v>
      </c>
    </row>
    <row r="88" ht="13.5">
      <c r="A88" s="170" t="s">
        <v>503</v>
      </c>
    </row>
    <row r="89" ht="13.5">
      <c r="A89" s="170" t="s">
        <v>503</v>
      </c>
    </row>
    <row r="90" ht="13.5">
      <c r="A90" s="170" t="s">
        <v>503</v>
      </c>
    </row>
    <row r="91" ht="13.5">
      <c r="A91" s="170" t="s">
        <v>503</v>
      </c>
    </row>
    <row r="92" ht="13.5">
      <c r="A92" s="170" t="s">
        <v>503</v>
      </c>
    </row>
    <row r="93" ht="13.5">
      <c r="A93" s="170" t="s">
        <v>503</v>
      </c>
    </row>
    <row r="94" ht="13.5">
      <c r="A94" s="170" t="s">
        <v>503</v>
      </c>
    </row>
    <row r="95" ht="13.5">
      <c r="A95" s="170" t="s">
        <v>503</v>
      </c>
    </row>
    <row r="96" ht="13.5">
      <c r="A96" s="170" t="s">
        <v>503</v>
      </c>
    </row>
    <row r="97" ht="13.5">
      <c r="A97" s="170" t="s">
        <v>503</v>
      </c>
    </row>
    <row r="98" ht="13.5">
      <c r="A98" s="170" t="s">
        <v>503</v>
      </c>
    </row>
    <row r="99" ht="13.5">
      <c r="A99" s="170" t="s">
        <v>503</v>
      </c>
    </row>
    <row r="100" ht="13.5">
      <c r="A100" s="170" t="s">
        <v>503</v>
      </c>
    </row>
    <row r="101" ht="13.5">
      <c r="A101" s="170" t="s">
        <v>503</v>
      </c>
    </row>
  </sheetData>
  <sheetProtection/>
  <autoFilter ref="B3:T101"/>
  <mergeCells count="1">
    <mergeCell ref="F2:G2"/>
  </mergeCells>
  <printOp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dimension ref="A1:H203"/>
  <sheetViews>
    <sheetView workbookViewId="0" topLeftCell="A1">
      <selection activeCell="A1" sqref="A1"/>
    </sheetView>
  </sheetViews>
  <sheetFormatPr defaultColWidth="11.421875" defaultRowHeight="15"/>
  <cols>
    <col min="1" max="1" width="4.00390625" style="1" customWidth="1"/>
    <col min="2" max="2" width="11.421875" style="0" customWidth="1"/>
    <col min="3" max="3" width="32.7109375" style="0" customWidth="1"/>
    <col min="4" max="6" width="11.421875" style="286" customWidth="1"/>
  </cols>
  <sheetData>
    <row r="1" spans="1:8" s="1" customFormat="1" ht="15" thickBot="1">
      <c r="A1" s="1" t="s">
        <v>850</v>
      </c>
      <c r="B1" s="1" t="s">
        <v>1237</v>
      </c>
      <c r="C1" s="1" t="s">
        <v>802</v>
      </c>
      <c r="D1" s="282" t="s">
        <v>20</v>
      </c>
      <c r="E1" s="282" t="s">
        <v>21</v>
      </c>
      <c r="F1" s="282" t="s">
        <v>22</v>
      </c>
      <c r="G1" s="282" t="s">
        <v>23</v>
      </c>
      <c r="H1" s="282" t="s">
        <v>503</v>
      </c>
    </row>
    <row r="2" spans="2:7" ht="13.5">
      <c r="B2" s="278" t="s">
        <v>889</v>
      </c>
      <c r="C2" s="279" t="s">
        <v>1064</v>
      </c>
      <c r="D2" s="283">
        <v>0</v>
      </c>
      <c r="E2" s="284">
        <v>0</v>
      </c>
      <c r="F2" s="283">
        <v>0</v>
      </c>
      <c r="G2" s="61">
        <v>0</v>
      </c>
    </row>
    <row r="3" spans="2:8" ht="13.5">
      <c r="B3" s="278" t="s">
        <v>1065</v>
      </c>
      <c r="C3" s="280" t="s">
        <v>1066</v>
      </c>
      <c r="D3" s="283">
        <v>0</v>
      </c>
      <c r="E3" s="285">
        <v>758.4300000000001</v>
      </c>
      <c r="F3" s="283">
        <v>1660.26</v>
      </c>
      <c r="G3" s="61">
        <v>1787.0300000000002</v>
      </c>
      <c r="H3" s="278" t="s">
        <v>850</v>
      </c>
    </row>
    <row r="4" spans="2:7" ht="13.5">
      <c r="B4" s="278" t="s">
        <v>961</v>
      </c>
      <c r="C4" s="280" t="s">
        <v>1067</v>
      </c>
      <c r="D4" s="283">
        <v>920.25</v>
      </c>
      <c r="E4" s="285">
        <v>78.89</v>
      </c>
      <c r="F4" s="283">
        <v>4289.5</v>
      </c>
      <c r="G4" s="61">
        <v>5500</v>
      </c>
    </row>
    <row r="5" spans="1:7" ht="13.5">
      <c r="A5" s="1" t="s">
        <v>850</v>
      </c>
      <c r="B5" s="278" t="s">
        <v>962</v>
      </c>
      <c r="C5" s="280" t="s">
        <v>1068</v>
      </c>
      <c r="D5" s="283">
        <v>0</v>
      </c>
      <c r="E5" s="285">
        <v>0</v>
      </c>
      <c r="F5" s="283">
        <v>0</v>
      </c>
      <c r="G5" s="61">
        <v>0</v>
      </c>
    </row>
    <row r="6" spans="2:8" ht="13.5">
      <c r="B6" s="278" t="s">
        <v>1069</v>
      </c>
      <c r="C6" s="280" t="s">
        <v>1070</v>
      </c>
      <c r="D6" s="283">
        <v>0</v>
      </c>
      <c r="E6" s="285">
        <v>0</v>
      </c>
      <c r="F6" s="283">
        <v>0</v>
      </c>
      <c r="G6" s="61">
        <v>0</v>
      </c>
      <c r="H6" t="s">
        <v>1295</v>
      </c>
    </row>
    <row r="7" spans="2:7" ht="13.5">
      <c r="B7" s="278" t="s">
        <v>965</v>
      </c>
      <c r="C7" s="280" t="s">
        <v>1071</v>
      </c>
      <c r="D7" s="295">
        <v>0</v>
      </c>
      <c r="E7" s="285">
        <v>0</v>
      </c>
      <c r="F7" s="283">
        <v>855.96</v>
      </c>
      <c r="G7" s="61">
        <v>2296.4300000000003</v>
      </c>
    </row>
    <row r="8" spans="2:7" ht="13.5">
      <c r="B8" s="278" t="s">
        <v>1032</v>
      </c>
      <c r="C8" s="280" t="s">
        <v>334</v>
      </c>
      <c r="D8" s="295">
        <v>589.5999999999999</v>
      </c>
      <c r="E8" s="285">
        <v>120.77000000000001</v>
      </c>
      <c r="F8" s="283">
        <v>305.09999999999997</v>
      </c>
      <c r="G8" s="61">
        <v>2823.54</v>
      </c>
    </row>
    <row r="9" spans="1:7" ht="13.5">
      <c r="A9" s="1" t="s">
        <v>850</v>
      </c>
      <c r="B9" s="278" t="s">
        <v>912</v>
      </c>
      <c r="C9" s="280" t="s">
        <v>1072</v>
      </c>
      <c r="D9" s="283">
        <v>1528</v>
      </c>
      <c r="E9" s="285">
        <v>1667.29</v>
      </c>
      <c r="F9" s="283">
        <v>1864.53</v>
      </c>
      <c r="G9" s="61">
        <v>1643.25</v>
      </c>
    </row>
    <row r="10" spans="2:7" ht="13.5">
      <c r="B10" s="278" t="s">
        <v>1050</v>
      </c>
      <c r="C10" s="280" t="s">
        <v>1073</v>
      </c>
      <c r="D10" s="283">
        <v>0.61</v>
      </c>
      <c r="E10" s="285">
        <v>653.3399999999999</v>
      </c>
      <c r="F10" s="283">
        <v>196.17</v>
      </c>
      <c r="G10" s="61">
        <v>175.24</v>
      </c>
    </row>
    <row r="11" spans="2:7" ht="13.5">
      <c r="B11" s="278" t="s">
        <v>1053</v>
      </c>
      <c r="C11" s="280" t="s">
        <v>1074</v>
      </c>
      <c r="D11" s="283">
        <v>15.31</v>
      </c>
      <c r="E11" s="285">
        <v>0</v>
      </c>
      <c r="F11" s="283">
        <v>0</v>
      </c>
      <c r="G11" s="61">
        <v>0</v>
      </c>
    </row>
    <row r="12" spans="2:7" ht="13.5">
      <c r="B12" s="278" t="s">
        <v>1056</v>
      </c>
      <c r="C12" s="280" t="s">
        <v>1075</v>
      </c>
      <c r="D12" s="283">
        <v>0</v>
      </c>
      <c r="E12" s="285">
        <v>0</v>
      </c>
      <c r="F12" s="283">
        <v>0</v>
      </c>
      <c r="G12" s="61">
        <v>0</v>
      </c>
    </row>
    <row r="13" spans="2:7" ht="13.5">
      <c r="B13" s="278" t="s">
        <v>992</v>
      </c>
      <c r="C13" s="280" t="s">
        <v>1076</v>
      </c>
      <c r="D13" s="283">
        <v>0</v>
      </c>
      <c r="E13" s="285">
        <v>0</v>
      </c>
      <c r="F13" s="283">
        <v>0</v>
      </c>
      <c r="G13" s="61">
        <v>0</v>
      </c>
    </row>
    <row r="14" spans="2:8" ht="13.5">
      <c r="B14" s="278" t="s">
        <v>1044</v>
      </c>
      <c r="C14" s="280" t="s">
        <v>1077</v>
      </c>
      <c r="D14" s="283">
        <v>0</v>
      </c>
      <c r="E14" s="285">
        <v>0</v>
      </c>
      <c r="F14" s="283">
        <v>0</v>
      </c>
      <c r="G14" s="61">
        <v>0</v>
      </c>
      <c r="H14" t="s">
        <v>1294</v>
      </c>
    </row>
    <row r="15" spans="2:7" ht="13.5">
      <c r="B15" s="278" t="s">
        <v>1046</v>
      </c>
      <c r="C15" s="280" t="s">
        <v>1078</v>
      </c>
      <c r="D15" s="283">
        <v>0</v>
      </c>
      <c r="E15" s="285">
        <v>0</v>
      </c>
      <c r="F15" s="283">
        <v>0</v>
      </c>
      <c r="G15" s="61">
        <v>0</v>
      </c>
    </row>
    <row r="16" spans="2:7" ht="13.5">
      <c r="B16" s="278" t="s">
        <v>1005</v>
      </c>
      <c r="C16" s="280" t="s">
        <v>1079</v>
      </c>
      <c r="D16" s="283">
        <v>0</v>
      </c>
      <c r="E16" s="296">
        <v>33482.045</v>
      </c>
      <c r="F16" s="283">
        <v>19194</v>
      </c>
      <c r="G16" s="61">
        <v>0</v>
      </c>
    </row>
    <row r="17" spans="2:7" ht="13.5">
      <c r="B17" s="278" t="s">
        <v>1005</v>
      </c>
      <c r="C17" s="280" t="s">
        <v>1079</v>
      </c>
      <c r="D17" s="283">
        <v>0</v>
      </c>
      <c r="E17" s="296">
        <v>34247.795</v>
      </c>
      <c r="F17" s="283">
        <v>0</v>
      </c>
      <c r="G17" s="61">
        <v>0</v>
      </c>
    </row>
    <row r="18" spans="2:7" ht="13.5">
      <c r="B18" s="278" t="s">
        <v>917</v>
      </c>
      <c r="C18" s="280" t="s">
        <v>169</v>
      </c>
      <c r="D18" s="283">
        <v>9246.380000000001</v>
      </c>
      <c r="E18" s="285">
        <v>9530.99</v>
      </c>
      <c r="F18" s="283">
        <v>2375</v>
      </c>
      <c r="G18" s="61">
        <v>0</v>
      </c>
    </row>
    <row r="19" spans="2:7" ht="13.5">
      <c r="B19" s="278" t="s">
        <v>938</v>
      </c>
      <c r="C19" s="280" t="s">
        <v>1080</v>
      </c>
      <c r="D19" s="283">
        <v>0</v>
      </c>
      <c r="E19" s="285">
        <v>0</v>
      </c>
      <c r="F19" s="283">
        <v>0</v>
      </c>
      <c r="G19" s="61">
        <v>1493.94</v>
      </c>
    </row>
    <row r="20" spans="1:7" ht="13.5">
      <c r="A20" s="1" t="s">
        <v>850</v>
      </c>
      <c r="B20" s="278" t="s">
        <v>946</v>
      </c>
      <c r="C20" s="280" t="s">
        <v>1081</v>
      </c>
      <c r="D20" s="283">
        <v>5512.7300000000005</v>
      </c>
      <c r="E20" s="285">
        <v>91.06</v>
      </c>
      <c r="F20" s="283">
        <v>10681.58</v>
      </c>
      <c r="G20" s="61">
        <v>0</v>
      </c>
    </row>
    <row r="21" spans="2:7" ht="13.5">
      <c r="B21" s="278" t="s">
        <v>991</v>
      </c>
      <c r="C21" s="280" t="s">
        <v>851</v>
      </c>
      <c r="D21" s="283">
        <v>0</v>
      </c>
      <c r="E21" s="285">
        <v>0</v>
      </c>
      <c r="F21" s="283">
        <v>0</v>
      </c>
      <c r="G21" s="61">
        <v>0</v>
      </c>
    </row>
    <row r="22" spans="1:7" ht="13.5">
      <c r="A22" s="1" t="s">
        <v>850</v>
      </c>
      <c r="B22" s="278" t="s">
        <v>983</v>
      </c>
      <c r="C22" s="280" t="s">
        <v>756</v>
      </c>
      <c r="D22" s="295">
        <v>9837.17</v>
      </c>
      <c r="E22" s="285">
        <v>0</v>
      </c>
      <c r="F22" s="283">
        <v>0</v>
      </c>
      <c r="G22" s="61">
        <v>0</v>
      </c>
    </row>
    <row r="23" spans="1:7" ht="13.5">
      <c r="A23" s="1" t="s">
        <v>850</v>
      </c>
      <c r="B23" s="278" t="s">
        <v>984</v>
      </c>
      <c r="C23" s="280" t="s">
        <v>422</v>
      </c>
      <c r="D23" s="295">
        <v>0</v>
      </c>
      <c r="E23" s="285">
        <v>0</v>
      </c>
      <c r="F23" s="283">
        <v>0</v>
      </c>
      <c r="G23" s="61">
        <v>0</v>
      </c>
    </row>
    <row r="24" spans="1:7" ht="13.5">
      <c r="A24" s="1" t="s">
        <v>850</v>
      </c>
      <c r="B24" s="278" t="s">
        <v>985</v>
      </c>
      <c r="C24" s="280" t="s">
        <v>757</v>
      </c>
      <c r="D24" s="295">
        <v>148.26</v>
      </c>
      <c r="E24" s="285">
        <v>11836.56</v>
      </c>
      <c r="F24" s="283">
        <v>0</v>
      </c>
      <c r="G24" s="61">
        <v>0</v>
      </c>
    </row>
    <row r="25" spans="1:7" ht="13.5">
      <c r="A25" s="1" t="s">
        <v>850</v>
      </c>
      <c r="B25" s="278" t="s">
        <v>986</v>
      </c>
      <c r="C25" s="280" t="s">
        <v>759</v>
      </c>
      <c r="D25" s="295">
        <v>15969.55</v>
      </c>
      <c r="E25" s="285">
        <v>12526.44</v>
      </c>
      <c r="F25" s="283">
        <v>0</v>
      </c>
      <c r="G25" s="61">
        <v>0</v>
      </c>
    </row>
    <row r="26" spans="1:7" ht="13.5">
      <c r="A26" s="1" t="s">
        <v>850</v>
      </c>
      <c r="B26" s="278" t="s">
        <v>987</v>
      </c>
      <c r="C26" s="280" t="s">
        <v>761</v>
      </c>
      <c r="D26" s="295">
        <v>12882.789999999999</v>
      </c>
      <c r="E26" s="285">
        <v>13606.529999999997</v>
      </c>
      <c r="F26" s="283">
        <v>0</v>
      </c>
      <c r="G26" s="61">
        <v>0</v>
      </c>
    </row>
    <row r="27" spans="1:7" ht="13.5">
      <c r="A27" s="1" t="s">
        <v>850</v>
      </c>
      <c r="B27" s="278" t="s">
        <v>988</v>
      </c>
      <c r="C27" s="280" t="s">
        <v>763</v>
      </c>
      <c r="D27" s="295">
        <v>2691.8700000000003</v>
      </c>
      <c r="E27" s="285">
        <v>1229.77</v>
      </c>
      <c r="F27" s="283">
        <v>0</v>
      </c>
      <c r="G27" s="61">
        <v>0</v>
      </c>
    </row>
    <row r="28" spans="1:7" ht="13.5">
      <c r="A28" s="1" t="s">
        <v>850</v>
      </c>
      <c r="B28" s="278" t="s">
        <v>989</v>
      </c>
      <c r="C28" s="280" t="s">
        <v>154</v>
      </c>
      <c r="D28" s="295">
        <v>0</v>
      </c>
      <c r="E28" s="285">
        <v>265.63</v>
      </c>
      <c r="F28" s="283">
        <v>0</v>
      </c>
      <c r="G28" s="61">
        <v>-198.44</v>
      </c>
    </row>
    <row r="29" spans="1:7" ht="13.5">
      <c r="A29" s="1" t="s">
        <v>850</v>
      </c>
      <c r="B29" s="278" t="s">
        <v>990</v>
      </c>
      <c r="C29" s="280" t="s">
        <v>448</v>
      </c>
      <c r="D29" s="295">
        <v>0</v>
      </c>
      <c r="E29" s="285">
        <v>0</v>
      </c>
      <c r="F29" s="283">
        <v>0</v>
      </c>
      <c r="G29" s="61">
        <v>0</v>
      </c>
    </row>
    <row r="30" spans="1:7" ht="13.5">
      <c r="A30" s="1" t="s">
        <v>850</v>
      </c>
      <c r="B30" s="278" t="s">
        <v>1059</v>
      </c>
      <c r="C30" s="280" t="s">
        <v>767</v>
      </c>
      <c r="D30" s="295">
        <v>0</v>
      </c>
      <c r="E30" s="285">
        <v>8561.350000000002</v>
      </c>
      <c r="F30" s="283">
        <v>0</v>
      </c>
      <c r="G30" s="61">
        <v>0</v>
      </c>
    </row>
    <row r="31" spans="1:7" ht="13.5">
      <c r="A31" s="1" t="s">
        <v>850</v>
      </c>
      <c r="B31" s="278" t="s">
        <v>1060</v>
      </c>
      <c r="C31" s="280" t="s">
        <v>178</v>
      </c>
      <c r="D31" s="295">
        <v>1156.21</v>
      </c>
      <c r="E31" s="285">
        <v>0</v>
      </c>
      <c r="F31" s="283">
        <v>0</v>
      </c>
      <c r="G31" s="61">
        <v>0</v>
      </c>
    </row>
    <row r="32" spans="1:7" ht="13.5">
      <c r="A32" s="1" t="s">
        <v>850</v>
      </c>
      <c r="B32" s="278" t="s">
        <v>1061</v>
      </c>
      <c r="C32" s="280" t="s">
        <v>182</v>
      </c>
      <c r="D32" s="295">
        <v>0</v>
      </c>
      <c r="E32" s="285">
        <v>0</v>
      </c>
      <c r="F32" s="283">
        <v>0</v>
      </c>
      <c r="G32" s="61">
        <v>0</v>
      </c>
    </row>
    <row r="33" spans="1:7" ht="13.5">
      <c r="A33" s="1" t="s">
        <v>850</v>
      </c>
      <c r="B33" s="278" t="s">
        <v>1062</v>
      </c>
      <c r="C33" s="280" t="s">
        <v>1082</v>
      </c>
      <c r="D33" s="295">
        <v>0</v>
      </c>
      <c r="E33" s="285">
        <v>0</v>
      </c>
      <c r="F33" s="283">
        <v>0</v>
      </c>
      <c r="G33" s="61">
        <v>0</v>
      </c>
    </row>
    <row r="34" spans="1:7" ht="13.5">
      <c r="A34" s="1" t="s">
        <v>850</v>
      </c>
      <c r="B34" s="278" t="s">
        <v>951</v>
      </c>
      <c r="C34" s="280" t="s">
        <v>466</v>
      </c>
      <c r="D34" s="295">
        <v>245.1</v>
      </c>
      <c r="E34" s="285">
        <v>0</v>
      </c>
      <c r="F34" s="283">
        <v>4809.83</v>
      </c>
      <c r="G34" s="61">
        <v>0</v>
      </c>
    </row>
    <row r="35" spans="1:7" ht="13.5">
      <c r="A35" s="1" t="s">
        <v>850</v>
      </c>
      <c r="B35" s="278" t="s">
        <v>970</v>
      </c>
      <c r="C35" s="280" t="s">
        <v>469</v>
      </c>
      <c r="D35" s="295">
        <v>3457.5699999999997</v>
      </c>
      <c r="E35" s="285">
        <v>14.35</v>
      </c>
      <c r="F35" s="283">
        <v>0</v>
      </c>
      <c r="G35" s="61">
        <v>0</v>
      </c>
    </row>
    <row r="36" spans="1:7" ht="13.5">
      <c r="A36" s="1" t="s">
        <v>850</v>
      </c>
      <c r="B36" s="278" t="s">
        <v>1042</v>
      </c>
      <c r="C36" s="280" t="s">
        <v>775</v>
      </c>
      <c r="D36" s="295">
        <v>0</v>
      </c>
      <c r="E36" s="285">
        <v>0</v>
      </c>
      <c r="F36" s="283">
        <v>0</v>
      </c>
      <c r="G36" s="61">
        <v>0</v>
      </c>
    </row>
    <row r="37" spans="1:7" ht="13.5">
      <c r="A37" s="1" t="s">
        <v>850</v>
      </c>
      <c r="B37" s="278" t="s">
        <v>1043</v>
      </c>
      <c r="C37" s="280" t="s">
        <v>1083</v>
      </c>
      <c r="D37" s="295">
        <v>0</v>
      </c>
      <c r="E37" s="285">
        <v>0</v>
      </c>
      <c r="F37" s="283">
        <v>0</v>
      </c>
      <c r="G37" s="61">
        <v>0</v>
      </c>
    </row>
    <row r="38" spans="1:7" ht="13.5">
      <c r="A38" s="1" t="s">
        <v>850</v>
      </c>
      <c r="B38" s="278" t="s">
        <v>1006</v>
      </c>
      <c r="C38" s="280" t="s">
        <v>478</v>
      </c>
      <c r="D38" s="295">
        <v>0</v>
      </c>
      <c r="E38" s="285">
        <v>0</v>
      </c>
      <c r="F38" s="283">
        <v>0</v>
      </c>
      <c r="G38" s="61">
        <v>0</v>
      </c>
    </row>
    <row r="39" spans="1:7" ht="13.5">
      <c r="A39" s="1" t="s">
        <v>850</v>
      </c>
      <c r="B39" s="278" t="s">
        <v>1028</v>
      </c>
      <c r="C39" s="280" t="s">
        <v>781</v>
      </c>
      <c r="D39" s="295">
        <v>1032.19</v>
      </c>
      <c r="E39" s="285">
        <v>27.770000000000003</v>
      </c>
      <c r="F39" s="283">
        <v>275.02000000000004</v>
      </c>
      <c r="G39" s="61">
        <v>222.32000000000002</v>
      </c>
    </row>
    <row r="40" spans="1:7" ht="13.5">
      <c r="A40" s="1" t="s">
        <v>850</v>
      </c>
      <c r="B40" s="278" t="s">
        <v>1007</v>
      </c>
      <c r="C40" s="280" t="s">
        <v>702</v>
      </c>
      <c r="D40" s="295">
        <v>0</v>
      </c>
      <c r="E40" s="285">
        <v>0</v>
      </c>
      <c r="F40" s="283">
        <v>207</v>
      </c>
      <c r="G40" s="61">
        <v>144</v>
      </c>
    </row>
    <row r="41" spans="1:7" ht="13.5">
      <c r="A41" s="1" t="s">
        <v>850</v>
      </c>
      <c r="B41" s="278" t="s">
        <v>968</v>
      </c>
      <c r="C41" s="280" t="s">
        <v>784</v>
      </c>
      <c r="D41" s="295">
        <v>0</v>
      </c>
      <c r="E41" s="285">
        <v>0</v>
      </c>
      <c r="F41" s="283">
        <v>0</v>
      </c>
      <c r="G41" s="61">
        <v>0</v>
      </c>
    </row>
    <row r="42" spans="1:7" ht="13.5">
      <c r="A42" s="1" t="s">
        <v>850</v>
      </c>
      <c r="B42" s="278" t="s">
        <v>1029</v>
      </c>
      <c r="C42" s="280" t="s">
        <v>93</v>
      </c>
      <c r="D42" s="295">
        <v>205.68</v>
      </c>
      <c r="E42" s="285">
        <v>0</v>
      </c>
      <c r="F42" s="283">
        <v>0</v>
      </c>
      <c r="G42" s="61">
        <v>0</v>
      </c>
    </row>
    <row r="43" spans="1:7" ht="13.5">
      <c r="A43" s="1" t="s">
        <v>850</v>
      </c>
      <c r="B43" s="278" t="s">
        <v>1030</v>
      </c>
      <c r="C43" s="280" t="s">
        <v>787</v>
      </c>
      <c r="D43" s="295">
        <v>15780.93</v>
      </c>
      <c r="E43" s="285">
        <v>7314.91</v>
      </c>
      <c r="F43" s="283">
        <v>0</v>
      </c>
      <c r="G43" s="61">
        <v>0</v>
      </c>
    </row>
    <row r="44" spans="1:7" ht="13.5">
      <c r="A44" s="1" t="s">
        <v>850</v>
      </c>
      <c r="B44" s="278" t="s">
        <v>1031</v>
      </c>
      <c r="C44" s="280" t="s">
        <v>1084</v>
      </c>
      <c r="D44" s="295">
        <v>0</v>
      </c>
      <c r="E44" s="285">
        <v>0</v>
      </c>
      <c r="F44" s="283">
        <v>5.59</v>
      </c>
      <c r="G44" s="61">
        <v>0</v>
      </c>
    </row>
    <row r="45" spans="1:7" ht="13.5">
      <c r="A45" s="1" t="s">
        <v>850</v>
      </c>
      <c r="B45" s="278" t="s">
        <v>950</v>
      </c>
      <c r="C45" s="280" t="s">
        <v>496</v>
      </c>
      <c r="D45" s="295">
        <v>5375.780000000001</v>
      </c>
      <c r="E45" s="285">
        <v>263.04</v>
      </c>
      <c r="F45" s="283">
        <v>0</v>
      </c>
      <c r="G45" s="61">
        <v>134.46</v>
      </c>
    </row>
    <row r="46" spans="1:7" ht="13.5">
      <c r="A46" s="1" t="s">
        <v>850</v>
      </c>
      <c r="B46" s="278" t="s">
        <v>949</v>
      </c>
      <c r="C46" s="280" t="s">
        <v>792</v>
      </c>
      <c r="D46" s="295">
        <v>6050.8099999999995</v>
      </c>
      <c r="E46" s="285">
        <v>0</v>
      </c>
      <c r="F46" s="283">
        <v>0</v>
      </c>
      <c r="G46" s="61">
        <v>0</v>
      </c>
    </row>
    <row r="47" spans="1:7" ht="13.5">
      <c r="A47" s="1" t="s">
        <v>850</v>
      </c>
      <c r="B47" s="278" t="s">
        <v>884</v>
      </c>
      <c r="C47" s="280" t="s">
        <v>133</v>
      </c>
      <c r="D47" s="283">
        <v>2859.33</v>
      </c>
      <c r="E47" s="285">
        <v>8215.36</v>
      </c>
      <c r="F47" s="283">
        <v>7747.09</v>
      </c>
      <c r="G47" s="61">
        <v>9426.470000000001</v>
      </c>
    </row>
    <row r="48" spans="1:7" ht="13.5">
      <c r="A48" s="1" t="s">
        <v>850</v>
      </c>
      <c r="B48" s="278" t="s">
        <v>886</v>
      </c>
      <c r="C48" s="280" t="s">
        <v>528</v>
      </c>
      <c r="D48" s="283">
        <v>2277.54</v>
      </c>
      <c r="E48" s="285">
        <v>2691.91</v>
      </c>
      <c r="F48" s="283">
        <v>9377.67</v>
      </c>
      <c r="G48" s="61">
        <v>6400</v>
      </c>
    </row>
    <row r="49" spans="1:7" ht="13.5">
      <c r="A49" s="1" t="s">
        <v>850</v>
      </c>
      <c r="B49" s="278" t="s">
        <v>883</v>
      </c>
      <c r="C49" s="280" t="s">
        <v>530</v>
      </c>
      <c r="D49" s="283">
        <v>1791.25</v>
      </c>
      <c r="E49" s="285">
        <v>1341.02</v>
      </c>
      <c r="F49" s="283">
        <v>4316.22</v>
      </c>
      <c r="G49" s="61">
        <v>3737.8500000000004</v>
      </c>
    </row>
    <row r="50" spans="1:7" ht="13.5">
      <c r="A50" s="1" t="s">
        <v>850</v>
      </c>
      <c r="B50" s="278" t="s">
        <v>887</v>
      </c>
      <c r="C50" s="280" t="s">
        <v>532</v>
      </c>
      <c r="D50" s="283">
        <v>0</v>
      </c>
      <c r="E50" s="285">
        <v>10500</v>
      </c>
      <c r="F50" s="283">
        <v>10923.65</v>
      </c>
      <c r="G50" s="61">
        <v>5958.259999999999</v>
      </c>
    </row>
    <row r="51" spans="2:7" ht="13.5">
      <c r="B51" s="278" t="s">
        <v>897</v>
      </c>
      <c r="C51" s="280" t="s">
        <v>1085</v>
      </c>
      <c r="D51" s="283">
        <v>1851.72</v>
      </c>
      <c r="E51" s="285">
        <v>891.15</v>
      </c>
      <c r="F51" s="283">
        <v>3063.48</v>
      </c>
      <c r="G51" s="61">
        <v>5392.629999999999</v>
      </c>
    </row>
    <row r="52" spans="2:7" ht="13.5">
      <c r="B52" s="278" t="s">
        <v>898</v>
      </c>
      <c r="C52" s="280" t="s">
        <v>1086</v>
      </c>
      <c r="D52" s="283">
        <v>296</v>
      </c>
      <c r="E52" s="285">
        <v>395</v>
      </c>
      <c r="F52" s="283">
        <v>4738.23</v>
      </c>
      <c r="G52" s="61">
        <v>1677.0199999999998</v>
      </c>
    </row>
    <row r="53" spans="2:7" ht="13.5">
      <c r="B53" s="278" t="s">
        <v>899</v>
      </c>
      <c r="C53" s="280" t="s">
        <v>1087</v>
      </c>
      <c r="D53" s="283">
        <v>1000</v>
      </c>
      <c r="E53" s="285">
        <v>0</v>
      </c>
      <c r="F53" s="283">
        <v>0</v>
      </c>
      <c r="G53" s="61">
        <v>5450.63</v>
      </c>
    </row>
    <row r="54" spans="2:7" ht="13.5">
      <c r="B54" s="278" t="s">
        <v>906</v>
      </c>
      <c r="C54" s="280" t="s">
        <v>907</v>
      </c>
      <c r="D54" s="283">
        <v>179.31</v>
      </c>
      <c r="E54" s="285">
        <v>148.17000000000002</v>
      </c>
      <c r="F54" s="283">
        <v>259.08</v>
      </c>
      <c r="G54" s="61">
        <v>0</v>
      </c>
    </row>
    <row r="55" spans="2:7" ht="13.5">
      <c r="B55" s="278" t="s">
        <v>918</v>
      </c>
      <c r="C55" s="280" t="s">
        <v>582</v>
      </c>
      <c r="D55" s="283">
        <v>7586.179999999999</v>
      </c>
      <c r="E55" s="285">
        <v>7333.460000000001</v>
      </c>
      <c r="F55" s="283">
        <v>254.35</v>
      </c>
      <c r="G55" s="61">
        <v>0</v>
      </c>
    </row>
    <row r="56" spans="2:7" ht="13.5">
      <c r="B56" s="278" t="s">
        <v>919</v>
      </c>
      <c r="C56" s="280" t="s">
        <v>584</v>
      </c>
      <c r="D56" s="283">
        <v>6127.53</v>
      </c>
      <c r="E56" s="285">
        <v>5902.69</v>
      </c>
      <c r="F56" s="283">
        <v>0</v>
      </c>
      <c r="G56" s="61">
        <v>0</v>
      </c>
    </row>
    <row r="57" spans="2:7" ht="13.5">
      <c r="B57" s="278" t="s">
        <v>920</v>
      </c>
      <c r="C57" s="280" t="s">
        <v>585</v>
      </c>
      <c r="D57" s="283">
        <v>2641.16</v>
      </c>
      <c r="E57" s="285">
        <v>352.33</v>
      </c>
      <c r="F57" s="283">
        <v>154.63</v>
      </c>
      <c r="G57" s="61">
        <v>2815.81</v>
      </c>
    </row>
    <row r="58" spans="2:7" ht="13.5">
      <c r="B58" s="278" t="s">
        <v>921</v>
      </c>
      <c r="C58" s="280" t="s">
        <v>182</v>
      </c>
      <c r="D58" s="283">
        <v>592</v>
      </c>
      <c r="E58" s="285">
        <v>0</v>
      </c>
      <c r="F58" s="283">
        <v>0</v>
      </c>
      <c r="G58" s="61">
        <v>3811.3999999999996</v>
      </c>
    </row>
    <row r="59" spans="2:7" ht="13.5">
      <c r="B59" s="278" t="s">
        <v>1022</v>
      </c>
      <c r="C59" s="280" t="s">
        <v>1088</v>
      </c>
      <c r="D59" s="295">
        <v>676.05</v>
      </c>
      <c r="E59" s="285">
        <v>1124.2900000000002</v>
      </c>
      <c r="F59" s="283">
        <v>844.3</v>
      </c>
      <c r="G59" s="61">
        <v>287.33</v>
      </c>
    </row>
    <row r="60" spans="2:8" ht="13.5">
      <c r="B60" s="278" t="s">
        <v>1023</v>
      </c>
      <c r="C60" s="280" t="s">
        <v>1089</v>
      </c>
      <c r="D60" s="295">
        <v>0</v>
      </c>
      <c r="E60" s="285">
        <v>0</v>
      </c>
      <c r="F60" s="295">
        <v>51876.86</v>
      </c>
      <c r="G60" s="61">
        <v>0</v>
      </c>
      <c r="H60" t="s">
        <v>1296</v>
      </c>
    </row>
    <row r="61" spans="2:8" ht="13.5">
      <c r="B61" s="278" t="s">
        <v>1090</v>
      </c>
      <c r="C61" s="280" t="s">
        <v>1091</v>
      </c>
      <c r="D61" s="295">
        <v>902.8499999999999</v>
      </c>
      <c r="E61" s="285">
        <v>1830.0199999999998</v>
      </c>
      <c r="F61" s="283">
        <v>5810.050000000001</v>
      </c>
      <c r="G61" s="61">
        <v>563.78</v>
      </c>
      <c r="H61" t="s">
        <v>1297</v>
      </c>
    </row>
    <row r="62" spans="2:7" ht="13.5">
      <c r="B62" s="278" t="s">
        <v>1008</v>
      </c>
      <c r="C62" s="280" t="s">
        <v>698</v>
      </c>
      <c r="D62" s="295">
        <v>0</v>
      </c>
      <c r="E62" s="285">
        <v>4983.789999999999</v>
      </c>
      <c r="F62" s="283">
        <v>46.77</v>
      </c>
      <c r="G62" s="61">
        <v>2901.3599999999997</v>
      </c>
    </row>
    <row r="63" spans="2:8" ht="13.5">
      <c r="B63" s="278" t="s">
        <v>1092</v>
      </c>
      <c r="C63" s="280" t="s">
        <v>1093</v>
      </c>
      <c r="D63" s="295">
        <v>1150.4699999999998</v>
      </c>
      <c r="E63" s="285">
        <v>1132.63</v>
      </c>
      <c r="F63" s="283">
        <v>1232.8300000000002</v>
      </c>
      <c r="G63" s="61">
        <v>3369.3</v>
      </c>
      <c r="H63" t="s">
        <v>1298</v>
      </c>
    </row>
    <row r="64" spans="2:7" ht="13.5">
      <c r="B64" s="278" t="s">
        <v>1009</v>
      </c>
      <c r="C64" s="280" t="s">
        <v>702</v>
      </c>
      <c r="D64" s="295">
        <v>56.22</v>
      </c>
      <c r="E64" s="285">
        <v>164.45000000000002</v>
      </c>
      <c r="F64" s="283">
        <v>785.4399999999999</v>
      </c>
      <c r="G64" s="61">
        <v>2805.04</v>
      </c>
    </row>
    <row r="65" spans="2:7" ht="13.5">
      <c r="B65" s="278" t="s">
        <v>1010</v>
      </c>
      <c r="C65" s="280" t="s">
        <v>1094</v>
      </c>
      <c r="D65" s="295">
        <v>404.65</v>
      </c>
      <c r="E65" s="285">
        <v>62.51</v>
      </c>
      <c r="F65" s="283">
        <v>55.779999999999994</v>
      </c>
      <c r="G65" s="61">
        <v>3057.2799999999997</v>
      </c>
    </row>
    <row r="66" spans="2:7" ht="13.5">
      <c r="B66" s="278" t="s">
        <v>1011</v>
      </c>
      <c r="C66" s="280" t="s">
        <v>706</v>
      </c>
      <c r="D66" s="295">
        <v>0</v>
      </c>
      <c r="E66" s="285">
        <v>14429.78</v>
      </c>
      <c r="F66" s="283">
        <v>0</v>
      </c>
      <c r="G66" s="61">
        <v>3300.62</v>
      </c>
    </row>
    <row r="67" spans="2:8" ht="13.5">
      <c r="B67" s="278" t="s">
        <v>1035</v>
      </c>
      <c r="C67" s="280" t="s">
        <v>301</v>
      </c>
      <c r="D67" s="295">
        <v>0</v>
      </c>
      <c r="E67" s="285">
        <v>234.72000000000003</v>
      </c>
      <c r="F67" s="283">
        <v>32.86</v>
      </c>
      <c r="G67" s="61">
        <v>0</v>
      </c>
      <c r="H67" t="s">
        <v>1299</v>
      </c>
    </row>
    <row r="68" spans="1:7" ht="13.5">
      <c r="A68" s="1" t="s">
        <v>850</v>
      </c>
      <c r="B68" s="278" t="s">
        <v>1095</v>
      </c>
      <c r="C68" s="280" t="s">
        <v>1096</v>
      </c>
      <c r="D68" s="295">
        <v>2199</v>
      </c>
      <c r="E68" s="285">
        <v>3725.28</v>
      </c>
      <c r="F68" s="283">
        <v>6123.42</v>
      </c>
      <c r="G68" s="61">
        <v>3005.23</v>
      </c>
    </row>
    <row r="69" spans="1:7" ht="13.5">
      <c r="A69" s="1" t="s">
        <v>850</v>
      </c>
      <c r="B69" s="278" t="s">
        <v>998</v>
      </c>
      <c r="C69" s="280" t="s">
        <v>387</v>
      </c>
      <c r="D69" s="295">
        <v>100</v>
      </c>
      <c r="E69" s="285">
        <v>187.91</v>
      </c>
      <c r="F69" s="283">
        <v>309.98</v>
      </c>
      <c r="G69" s="61">
        <v>0</v>
      </c>
    </row>
    <row r="70" spans="1:7" ht="13.5">
      <c r="A70" s="1" t="s">
        <v>850</v>
      </c>
      <c r="B70" s="278" t="s">
        <v>993</v>
      </c>
      <c r="C70" s="280" t="s">
        <v>390</v>
      </c>
      <c r="D70" s="295">
        <v>459.14000000000004</v>
      </c>
      <c r="E70" s="285">
        <v>2393.8</v>
      </c>
      <c r="F70" s="283">
        <v>636.5899999999999</v>
      </c>
      <c r="G70" s="61">
        <v>558.9</v>
      </c>
    </row>
    <row r="71" spans="1:7" ht="13.5">
      <c r="A71" s="1" t="s">
        <v>850</v>
      </c>
      <c r="B71" s="278" t="s">
        <v>994</v>
      </c>
      <c r="C71" s="280" t="s">
        <v>393</v>
      </c>
      <c r="D71" s="295">
        <v>2358.37</v>
      </c>
      <c r="E71" s="285">
        <v>418.82000000000005</v>
      </c>
      <c r="F71" s="283">
        <v>3310.3900000000003</v>
      </c>
      <c r="G71" s="61">
        <v>1803.4499999999998</v>
      </c>
    </row>
    <row r="72" spans="1:7" ht="13.5">
      <c r="A72" s="1" t="s">
        <v>850</v>
      </c>
      <c r="B72" s="278" t="s">
        <v>995</v>
      </c>
      <c r="C72" s="280" t="s">
        <v>397</v>
      </c>
      <c r="D72" s="295">
        <v>0</v>
      </c>
      <c r="E72" s="285">
        <v>0</v>
      </c>
      <c r="F72" s="283">
        <v>0</v>
      </c>
      <c r="G72" s="61">
        <v>0</v>
      </c>
    </row>
    <row r="73" spans="1:7" ht="13.5">
      <c r="A73" s="1" t="s">
        <v>850</v>
      </c>
      <c r="B73" s="278" t="s">
        <v>996</v>
      </c>
      <c r="C73" s="280" t="s">
        <v>400</v>
      </c>
      <c r="D73" s="295">
        <v>488.62</v>
      </c>
      <c r="E73" s="285">
        <v>0</v>
      </c>
      <c r="F73" s="283">
        <v>19.42</v>
      </c>
      <c r="G73" s="61">
        <v>0</v>
      </c>
    </row>
    <row r="74" spans="1:8" ht="13.5">
      <c r="A74" s="1" t="s">
        <v>850</v>
      </c>
      <c r="B74" s="278" t="s">
        <v>1097</v>
      </c>
      <c r="C74" s="280" t="s">
        <v>1098</v>
      </c>
      <c r="D74" s="283">
        <v>442.0799999999999</v>
      </c>
      <c r="E74" s="285">
        <v>75.52999999999999</v>
      </c>
      <c r="F74" s="283">
        <v>180.5</v>
      </c>
      <c r="G74" s="61">
        <v>176.04000000000002</v>
      </c>
      <c r="H74">
        <v>11</v>
      </c>
    </row>
    <row r="75" spans="1:7" ht="13.5">
      <c r="A75" s="1" t="s">
        <v>850</v>
      </c>
      <c r="B75" s="278" t="s">
        <v>1038</v>
      </c>
      <c r="C75" s="280" t="s">
        <v>103</v>
      </c>
      <c r="D75" s="283">
        <v>0</v>
      </c>
      <c r="E75" s="285">
        <v>0</v>
      </c>
      <c r="F75" s="283">
        <v>0</v>
      </c>
      <c r="G75" s="61">
        <v>0</v>
      </c>
    </row>
    <row r="76" spans="1:7" ht="13.5">
      <c r="A76" s="1" t="s">
        <v>850</v>
      </c>
      <c r="B76" s="278" t="s">
        <v>1039</v>
      </c>
      <c r="C76" s="280" t="s">
        <v>1099</v>
      </c>
      <c r="D76" s="283">
        <v>0</v>
      </c>
      <c r="E76" s="285">
        <v>11592.529999999997</v>
      </c>
      <c r="F76" s="283">
        <v>8972.03</v>
      </c>
      <c r="G76" s="61">
        <v>0</v>
      </c>
    </row>
    <row r="77" spans="1:7" ht="13.5">
      <c r="A77" s="1" t="s">
        <v>850</v>
      </c>
      <c r="B77" s="278" t="s">
        <v>882</v>
      </c>
      <c r="C77" s="280" t="s">
        <v>1100</v>
      </c>
      <c r="D77" s="283">
        <v>7393.3</v>
      </c>
      <c r="E77" s="285">
        <v>6435.48</v>
      </c>
      <c r="F77" s="283">
        <v>4182.77</v>
      </c>
      <c r="G77" s="61">
        <v>0</v>
      </c>
    </row>
    <row r="78" spans="2:7" ht="13.5">
      <c r="B78" s="278" t="s">
        <v>888</v>
      </c>
      <c r="C78" s="280" t="s">
        <v>1101</v>
      </c>
      <c r="D78" s="283">
        <v>5581</v>
      </c>
      <c r="E78" s="285">
        <v>4363.620000000001</v>
      </c>
      <c r="F78" s="283">
        <v>4557.76</v>
      </c>
      <c r="G78" s="61">
        <v>4354.8</v>
      </c>
    </row>
    <row r="79" spans="2:8" ht="13.5">
      <c r="B79" s="278" t="s">
        <v>1102</v>
      </c>
      <c r="C79" s="280" t="s">
        <v>1103</v>
      </c>
      <c r="D79" s="283">
        <v>0</v>
      </c>
      <c r="E79" s="285">
        <v>0</v>
      </c>
      <c r="F79" s="283">
        <v>1381.3899999999999</v>
      </c>
      <c r="G79" s="61">
        <v>0</v>
      </c>
      <c r="H79" t="s">
        <v>1293</v>
      </c>
    </row>
    <row r="80" spans="2:7" ht="13.5">
      <c r="B80" s="278" t="s">
        <v>953</v>
      </c>
      <c r="C80" s="280" t="s">
        <v>1104</v>
      </c>
      <c r="D80" s="295">
        <v>385.69</v>
      </c>
      <c r="E80" s="285">
        <v>744.3</v>
      </c>
      <c r="F80" s="283">
        <v>3083.6099999999997</v>
      </c>
      <c r="G80" s="61">
        <v>2113.95</v>
      </c>
    </row>
    <row r="81" spans="2:7" ht="13.5">
      <c r="B81" s="278" t="s">
        <v>952</v>
      </c>
      <c r="C81" s="280" t="s">
        <v>359</v>
      </c>
      <c r="D81" s="295">
        <v>358.94</v>
      </c>
      <c r="E81" s="285">
        <v>2267.49</v>
      </c>
      <c r="F81" s="283">
        <v>6599.02</v>
      </c>
      <c r="G81" s="61">
        <v>3366.98</v>
      </c>
    </row>
    <row r="82" spans="2:7" ht="13.5">
      <c r="B82" s="278" t="s">
        <v>971</v>
      </c>
      <c r="C82" s="280" t="s">
        <v>1105</v>
      </c>
      <c r="D82" s="295">
        <v>0</v>
      </c>
      <c r="E82" s="285">
        <v>0</v>
      </c>
      <c r="F82" s="283">
        <v>0</v>
      </c>
      <c r="G82" s="61">
        <v>0</v>
      </c>
    </row>
    <row r="83" spans="2:7" ht="13.5">
      <c r="B83" s="278" t="s">
        <v>958</v>
      </c>
      <c r="C83" s="280" t="s">
        <v>1106</v>
      </c>
      <c r="D83" s="295">
        <v>0</v>
      </c>
      <c r="E83" s="285">
        <v>0</v>
      </c>
      <c r="F83" s="283">
        <v>0</v>
      </c>
      <c r="G83" s="61">
        <v>0</v>
      </c>
    </row>
    <row r="84" spans="2:7" ht="13.5">
      <c r="B84" s="278" t="s">
        <v>922</v>
      </c>
      <c r="C84" s="280" t="s">
        <v>1107</v>
      </c>
      <c r="D84" s="283">
        <v>0</v>
      </c>
      <c r="E84" s="285">
        <v>0</v>
      </c>
      <c r="F84" s="283">
        <v>0</v>
      </c>
      <c r="G84" s="61">
        <v>0</v>
      </c>
    </row>
    <row r="85" spans="2:7" ht="13.5">
      <c r="B85" s="278" t="s">
        <v>923</v>
      </c>
      <c r="C85" s="280" t="s">
        <v>1108</v>
      </c>
      <c r="D85" s="283">
        <v>0</v>
      </c>
      <c r="E85" s="285">
        <v>0</v>
      </c>
      <c r="F85" s="283">
        <v>918.0899999999999</v>
      </c>
      <c r="G85" s="61">
        <v>47.01</v>
      </c>
    </row>
    <row r="86" spans="2:7" ht="13.5">
      <c r="B86" s="278" t="s">
        <v>924</v>
      </c>
      <c r="C86" s="280" t="s">
        <v>1109</v>
      </c>
      <c r="D86" s="283">
        <v>1045.1100000000001</v>
      </c>
      <c r="E86" s="296">
        <v>1387.4799999999998</v>
      </c>
      <c r="F86" s="283">
        <v>2077.58</v>
      </c>
      <c r="G86" s="61">
        <v>1901.1599999999999</v>
      </c>
    </row>
    <row r="87" spans="2:7" ht="13.5">
      <c r="B87" s="278" t="s">
        <v>929</v>
      </c>
      <c r="C87" s="280" t="s">
        <v>1110</v>
      </c>
      <c r="D87" s="283">
        <v>650.8</v>
      </c>
      <c r="E87" s="285">
        <v>20.61</v>
      </c>
      <c r="F87" s="283">
        <v>0</v>
      </c>
      <c r="G87" s="61">
        <v>141.14</v>
      </c>
    </row>
    <row r="88" spans="2:7" ht="13.5">
      <c r="B88" s="278" t="s">
        <v>927</v>
      </c>
      <c r="C88" s="280" t="s">
        <v>1111</v>
      </c>
      <c r="D88" s="283">
        <v>0</v>
      </c>
      <c r="E88" s="285">
        <v>0</v>
      </c>
      <c r="F88" s="283">
        <v>0</v>
      </c>
      <c r="G88" s="61">
        <v>0</v>
      </c>
    </row>
    <row r="89" spans="2:7" ht="13.5">
      <c r="B89" s="278" t="s">
        <v>928</v>
      </c>
      <c r="C89" s="280" t="s">
        <v>1112</v>
      </c>
      <c r="D89" s="283">
        <v>0</v>
      </c>
      <c r="E89" s="285">
        <v>0</v>
      </c>
      <c r="F89" s="283">
        <v>0</v>
      </c>
      <c r="G89" s="61">
        <v>2109.07</v>
      </c>
    </row>
    <row r="90" spans="2:7" ht="13.5">
      <c r="B90" s="278" t="s">
        <v>932</v>
      </c>
      <c r="C90" s="280" t="s">
        <v>1113</v>
      </c>
      <c r="D90" s="283">
        <v>3528.99</v>
      </c>
      <c r="E90" s="285">
        <v>0</v>
      </c>
      <c r="F90" s="283">
        <v>977.5</v>
      </c>
      <c r="G90" s="61">
        <v>284.06</v>
      </c>
    </row>
    <row r="91" spans="2:7" ht="13.5">
      <c r="B91" s="278" t="s">
        <v>935</v>
      </c>
      <c r="C91" s="280" t="s">
        <v>1114</v>
      </c>
      <c r="D91" s="283">
        <v>0</v>
      </c>
      <c r="E91" s="285">
        <v>0</v>
      </c>
      <c r="F91" s="283">
        <v>63.05</v>
      </c>
      <c r="G91" s="61">
        <v>37.44</v>
      </c>
    </row>
    <row r="92" spans="2:7" ht="13.5">
      <c r="B92" s="278" t="s">
        <v>939</v>
      </c>
      <c r="C92" s="280" t="s">
        <v>1115</v>
      </c>
      <c r="D92" s="283">
        <v>0</v>
      </c>
      <c r="E92" s="285">
        <v>0</v>
      </c>
      <c r="F92" s="283">
        <v>0</v>
      </c>
      <c r="G92" s="61">
        <v>2031.02</v>
      </c>
    </row>
    <row r="93" spans="2:7" ht="13.5">
      <c r="B93" s="278" t="s">
        <v>945</v>
      </c>
      <c r="C93" s="280" t="s">
        <v>1116</v>
      </c>
      <c r="D93" s="283">
        <v>762.68</v>
      </c>
      <c r="E93" s="285">
        <v>358.58</v>
      </c>
      <c r="F93" s="283">
        <v>4364.03</v>
      </c>
      <c r="G93" s="61">
        <v>6642.05</v>
      </c>
    </row>
    <row r="94" spans="2:7" ht="13.5">
      <c r="B94" s="278" t="s">
        <v>978</v>
      </c>
      <c r="C94" s="280" t="s">
        <v>1117</v>
      </c>
      <c r="D94" s="283">
        <v>3830</v>
      </c>
      <c r="E94" s="285">
        <v>0</v>
      </c>
      <c r="F94" s="283">
        <v>0</v>
      </c>
      <c r="G94" s="61">
        <v>2353.94</v>
      </c>
    </row>
    <row r="95" spans="2:7" ht="13.5">
      <c r="B95" s="278" t="s">
        <v>981</v>
      </c>
      <c r="C95" s="280" t="s">
        <v>1118</v>
      </c>
      <c r="D95" s="283">
        <v>0</v>
      </c>
      <c r="E95" s="285">
        <v>381</v>
      </c>
      <c r="F95" s="283">
        <v>406.8</v>
      </c>
      <c r="G95" s="61">
        <v>2104.2</v>
      </c>
    </row>
    <row r="96" spans="1:7" ht="13.5">
      <c r="A96" s="1" t="s">
        <v>850</v>
      </c>
      <c r="B96" s="278" t="s">
        <v>890</v>
      </c>
      <c r="C96" s="280" t="s">
        <v>1119</v>
      </c>
      <c r="D96" s="283">
        <v>0</v>
      </c>
      <c r="E96" s="285">
        <v>0</v>
      </c>
      <c r="F96" s="283">
        <v>0</v>
      </c>
      <c r="G96" s="61">
        <v>10491.56</v>
      </c>
    </row>
    <row r="97" spans="1:7" ht="13.5">
      <c r="A97" s="1" t="s">
        <v>850</v>
      </c>
      <c r="B97" s="278" t="s">
        <v>1014</v>
      </c>
      <c r="C97" s="280" t="s">
        <v>1120</v>
      </c>
      <c r="D97" s="283">
        <v>0</v>
      </c>
      <c r="E97" s="285">
        <v>0</v>
      </c>
      <c r="F97" s="283">
        <v>0</v>
      </c>
      <c r="G97" s="61">
        <v>0</v>
      </c>
    </row>
    <row r="98" spans="2:7" ht="13.5">
      <c r="B98" s="278" t="s">
        <v>977</v>
      </c>
      <c r="C98" s="280" t="s">
        <v>1121</v>
      </c>
      <c r="D98" s="295">
        <v>0</v>
      </c>
      <c r="E98" s="285">
        <v>0</v>
      </c>
      <c r="F98" s="283">
        <v>0</v>
      </c>
      <c r="G98" s="61">
        <v>727.79</v>
      </c>
    </row>
    <row r="99" spans="2:7" ht="13.5">
      <c r="B99" s="278" t="s">
        <v>1019</v>
      </c>
      <c r="C99" s="280" t="s">
        <v>1107</v>
      </c>
      <c r="D99" s="295">
        <v>7200</v>
      </c>
      <c r="E99" s="285">
        <v>9600</v>
      </c>
      <c r="F99" s="283">
        <v>-7200</v>
      </c>
      <c r="G99" s="61">
        <v>0</v>
      </c>
    </row>
    <row r="100" spans="2:7" ht="13.5">
      <c r="B100" s="278" t="s">
        <v>1001</v>
      </c>
      <c r="C100" s="280" t="s">
        <v>1122</v>
      </c>
      <c r="D100" s="295">
        <v>0</v>
      </c>
      <c r="E100" s="285">
        <v>0</v>
      </c>
      <c r="F100" s="283">
        <v>7146.92</v>
      </c>
      <c r="G100" s="61">
        <v>0</v>
      </c>
    </row>
    <row r="101" spans="1:7" ht="13.5">
      <c r="A101" s="1" t="s">
        <v>850</v>
      </c>
      <c r="B101" s="278" t="s">
        <v>908</v>
      </c>
      <c r="C101" s="280" t="s">
        <v>1123</v>
      </c>
      <c r="D101" s="283">
        <v>0</v>
      </c>
      <c r="E101" s="285">
        <v>0</v>
      </c>
      <c r="F101" s="283">
        <v>2254.08</v>
      </c>
      <c r="G101" s="61">
        <v>2843.46</v>
      </c>
    </row>
    <row r="102" spans="1:7" ht="13.5">
      <c r="A102" s="1" t="s">
        <v>850</v>
      </c>
      <c r="B102" s="278" t="s">
        <v>909</v>
      </c>
      <c r="C102" s="280" t="s">
        <v>564</v>
      </c>
      <c r="D102" s="283">
        <v>0</v>
      </c>
      <c r="E102" s="285">
        <v>4658.0599999999995</v>
      </c>
      <c r="F102" s="283">
        <v>19016.49</v>
      </c>
      <c r="G102" s="61">
        <v>123.75999999999999</v>
      </c>
    </row>
    <row r="103" spans="1:7" ht="13.5">
      <c r="A103" s="1" t="s">
        <v>850</v>
      </c>
      <c r="B103" s="278" t="s">
        <v>915</v>
      </c>
      <c r="C103" s="280" t="s">
        <v>1124</v>
      </c>
      <c r="D103" s="283">
        <v>0</v>
      </c>
      <c r="E103" s="285">
        <v>204.9</v>
      </c>
      <c r="F103" s="283">
        <v>3450.72</v>
      </c>
      <c r="G103" s="61">
        <v>7173.17</v>
      </c>
    </row>
    <row r="104" spans="2:7" ht="13.5">
      <c r="B104" s="278" t="s">
        <v>1024</v>
      </c>
      <c r="C104" s="280" t="s">
        <v>695</v>
      </c>
      <c r="D104" s="295">
        <v>0</v>
      </c>
      <c r="E104" s="285">
        <v>3940.39</v>
      </c>
      <c r="F104" s="283">
        <v>0</v>
      </c>
      <c r="G104" s="61">
        <v>2969.43</v>
      </c>
    </row>
    <row r="105" spans="2:7" ht="13.5">
      <c r="B105" s="278" t="s">
        <v>1012</v>
      </c>
      <c r="C105" s="280" t="s">
        <v>709</v>
      </c>
      <c r="D105" s="295">
        <v>0</v>
      </c>
      <c r="E105" s="285">
        <v>375.2</v>
      </c>
      <c r="F105" s="283">
        <v>0</v>
      </c>
      <c r="G105" s="61">
        <v>35725.955</v>
      </c>
    </row>
    <row r="106" spans="1:7" ht="13.5">
      <c r="A106" s="1" t="s">
        <v>850</v>
      </c>
      <c r="B106" s="278" t="s">
        <v>910</v>
      </c>
      <c r="C106" s="280" t="s">
        <v>568</v>
      </c>
      <c r="D106" s="283">
        <v>0</v>
      </c>
      <c r="E106" s="285">
        <v>614.89</v>
      </c>
      <c r="F106" s="283">
        <v>14886.49</v>
      </c>
      <c r="G106" s="61">
        <v>4231.31</v>
      </c>
    </row>
    <row r="107" spans="1:7" ht="13.5">
      <c r="A107" s="1" t="s">
        <v>850</v>
      </c>
      <c r="B107" s="278" t="s">
        <v>911</v>
      </c>
      <c r="C107" s="280" t="s">
        <v>570</v>
      </c>
      <c r="D107" s="283">
        <v>0</v>
      </c>
      <c r="E107" s="285">
        <v>0</v>
      </c>
      <c r="F107" s="283">
        <v>12156.050000000001</v>
      </c>
      <c r="G107" s="61">
        <v>5664.33</v>
      </c>
    </row>
    <row r="108" spans="2:7" ht="13.5">
      <c r="B108" s="278" t="s">
        <v>925</v>
      </c>
      <c r="C108" s="280" t="s">
        <v>1125</v>
      </c>
      <c r="D108" s="283">
        <v>347.46999999999997</v>
      </c>
      <c r="E108" s="296">
        <v>331.07000000000005</v>
      </c>
      <c r="F108" s="283">
        <v>550.24</v>
      </c>
      <c r="G108" s="61">
        <v>463.88</v>
      </c>
    </row>
    <row r="109" spans="2:8" ht="13.5">
      <c r="B109" s="278" t="s">
        <v>1126</v>
      </c>
      <c r="C109" s="280" t="s">
        <v>1127</v>
      </c>
      <c r="D109" s="283">
        <v>0</v>
      </c>
      <c r="E109" s="285">
        <v>1906.88</v>
      </c>
      <c r="F109" s="283">
        <v>1532.74</v>
      </c>
      <c r="G109" s="61">
        <v>1751.92</v>
      </c>
      <c r="H109" t="s">
        <v>503</v>
      </c>
    </row>
    <row r="110" spans="2:8" ht="13.5">
      <c r="B110" s="278" t="s">
        <v>1128</v>
      </c>
      <c r="C110" s="280" t="s">
        <v>1129</v>
      </c>
      <c r="D110" s="283">
        <v>0</v>
      </c>
      <c r="E110" s="285">
        <v>0</v>
      </c>
      <c r="F110" s="283">
        <v>271.19</v>
      </c>
      <c r="G110" s="61">
        <v>0</v>
      </c>
      <c r="H110" t="s">
        <v>1292</v>
      </c>
    </row>
    <row r="111" spans="1:7" ht="13.5">
      <c r="A111" s="1" t="s">
        <v>850</v>
      </c>
      <c r="B111" s="278" t="s">
        <v>963</v>
      </c>
      <c r="C111" s="280" t="s">
        <v>1130</v>
      </c>
      <c r="D111" s="283">
        <v>0</v>
      </c>
      <c r="E111" s="285">
        <v>0</v>
      </c>
      <c r="F111" s="283">
        <v>0</v>
      </c>
      <c r="G111" s="61">
        <v>200.82999999999998</v>
      </c>
    </row>
    <row r="112" spans="2:8" ht="13.5">
      <c r="B112" s="278" t="s">
        <v>1131</v>
      </c>
      <c r="C112" s="280" t="s">
        <v>1132</v>
      </c>
      <c r="D112" s="283">
        <v>0</v>
      </c>
      <c r="E112" s="285">
        <v>0</v>
      </c>
      <c r="F112" s="283">
        <v>0</v>
      </c>
      <c r="G112" s="61">
        <v>45.79</v>
      </c>
      <c r="H112" t="s">
        <v>1295</v>
      </c>
    </row>
    <row r="113" spans="2:7" ht="13.5">
      <c r="B113" s="278" t="s">
        <v>966</v>
      </c>
      <c r="C113" s="280" t="s">
        <v>1133</v>
      </c>
      <c r="D113" s="295">
        <v>0</v>
      </c>
      <c r="E113" s="285">
        <v>0</v>
      </c>
      <c r="F113" s="283">
        <v>957.6600000000001</v>
      </c>
      <c r="G113" s="61">
        <v>447.58</v>
      </c>
    </row>
    <row r="114" spans="2:7" ht="13.5">
      <c r="B114" s="278" t="s">
        <v>1033</v>
      </c>
      <c r="C114" s="280" t="s">
        <v>1134</v>
      </c>
      <c r="D114" s="295">
        <v>1223.27</v>
      </c>
      <c r="E114" s="285">
        <v>25.61</v>
      </c>
      <c r="F114" s="283">
        <v>1256.3999999999999</v>
      </c>
      <c r="G114" s="61">
        <v>771.02</v>
      </c>
    </row>
    <row r="115" spans="1:7" ht="13.5">
      <c r="A115" s="1" t="s">
        <v>850</v>
      </c>
      <c r="B115" s="278" t="s">
        <v>913</v>
      </c>
      <c r="C115" s="280" t="s">
        <v>1135</v>
      </c>
      <c r="D115" s="283">
        <v>2449.69</v>
      </c>
      <c r="E115" s="285">
        <v>3219.91</v>
      </c>
      <c r="F115" s="283">
        <v>3172</v>
      </c>
      <c r="G115" s="61">
        <v>966.52</v>
      </c>
    </row>
    <row r="116" spans="2:7" ht="13.5">
      <c r="B116" s="278" t="s">
        <v>1051</v>
      </c>
      <c r="C116" s="280" t="s">
        <v>1136</v>
      </c>
      <c r="D116" s="283">
        <v>0</v>
      </c>
      <c r="E116" s="285">
        <v>82.46</v>
      </c>
      <c r="F116" s="283">
        <v>55.71</v>
      </c>
      <c r="G116" s="61">
        <v>0</v>
      </c>
    </row>
    <row r="117" spans="2:7" ht="13.5">
      <c r="B117" s="278" t="s">
        <v>1054</v>
      </c>
      <c r="C117" s="280" t="s">
        <v>1137</v>
      </c>
      <c r="D117" s="283">
        <v>1109.33</v>
      </c>
      <c r="E117" s="285">
        <v>163.92</v>
      </c>
      <c r="F117" s="283">
        <v>66.1</v>
      </c>
      <c r="G117" s="61">
        <v>0</v>
      </c>
    </row>
    <row r="118" spans="2:7" ht="13.5">
      <c r="B118" s="278" t="s">
        <v>1057</v>
      </c>
      <c r="C118" s="280" t="s">
        <v>1138</v>
      </c>
      <c r="D118" s="283">
        <v>0</v>
      </c>
      <c r="E118" s="285">
        <v>0</v>
      </c>
      <c r="F118" s="283">
        <v>0</v>
      </c>
      <c r="G118" s="61">
        <v>0</v>
      </c>
    </row>
    <row r="119" spans="2:8" ht="13.5">
      <c r="B119" s="278" t="s">
        <v>1139</v>
      </c>
      <c r="C119" s="280" t="s">
        <v>1140</v>
      </c>
      <c r="D119" s="283">
        <v>0</v>
      </c>
      <c r="E119" s="285">
        <v>0</v>
      </c>
      <c r="F119" s="283">
        <v>8433.14</v>
      </c>
      <c r="G119" s="61">
        <v>0</v>
      </c>
      <c r="H119" t="s">
        <v>1294</v>
      </c>
    </row>
    <row r="120" spans="2:7" ht="13.5">
      <c r="B120" s="278" t="s">
        <v>1047</v>
      </c>
      <c r="C120" s="280" t="s">
        <v>1141</v>
      </c>
      <c r="D120" s="283">
        <v>0</v>
      </c>
      <c r="E120" s="285">
        <v>0</v>
      </c>
      <c r="F120" s="283">
        <v>0</v>
      </c>
      <c r="G120" s="61">
        <v>0</v>
      </c>
    </row>
    <row r="121" spans="2:7" ht="13.5">
      <c r="B121" s="278" t="s">
        <v>1003</v>
      </c>
      <c r="C121" s="280" t="s">
        <v>1142</v>
      </c>
      <c r="D121" s="283">
        <v>0</v>
      </c>
      <c r="E121" s="296">
        <v>33482.045</v>
      </c>
      <c r="F121" s="283">
        <v>22314</v>
      </c>
      <c r="G121" s="61">
        <v>0</v>
      </c>
    </row>
    <row r="122" spans="2:7" ht="13.5">
      <c r="B122" s="278" t="s">
        <v>1003</v>
      </c>
      <c r="C122" s="280" t="s">
        <v>1142</v>
      </c>
      <c r="D122" s="283">
        <v>0</v>
      </c>
      <c r="E122" s="296">
        <v>34226.265</v>
      </c>
      <c r="F122" s="283">
        <v>0</v>
      </c>
      <c r="G122" s="61">
        <v>0</v>
      </c>
    </row>
    <row r="123" spans="2:7" ht="13.5">
      <c r="B123" s="278" t="s">
        <v>940</v>
      </c>
      <c r="C123" s="280" t="s">
        <v>1143</v>
      </c>
      <c r="D123" s="283">
        <v>0</v>
      </c>
      <c r="E123" s="285">
        <v>0</v>
      </c>
      <c r="F123" s="283">
        <v>2644.1800000000003</v>
      </c>
      <c r="G123" s="61">
        <v>7191.359999999999</v>
      </c>
    </row>
    <row r="124" spans="1:7" ht="13.5">
      <c r="A124" s="1" t="s">
        <v>850</v>
      </c>
      <c r="B124" s="278" t="s">
        <v>947</v>
      </c>
      <c r="C124" s="280" t="s">
        <v>1144</v>
      </c>
      <c r="D124" s="283">
        <v>0</v>
      </c>
      <c r="E124" s="285">
        <v>2240.88</v>
      </c>
      <c r="F124" s="283">
        <v>0</v>
      </c>
      <c r="G124" s="61">
        <v>0</v>
      </c>
    </row>
    <row r="125" spans="2:7" ht="13.5">
      <c r="B125" s="278" t="s">
        <v>900</v>
      </c>
      <c r="C125" s="280" t="s">
        <v>1145</v>
      </c>
      <c r="D125" s="283">
        <v>666.8100000000001</v>
      </c>
      <c r="E125" s="285">
        <v>0</v>
      </c>
      <c r="F125" s="283">
        <v>2052.32</v>
      </c>
      <c r="G125" s="61">
        <v>2201.4399999999996</v>
      </c>
    </row>
    <row r="126" spans="2:7" ht="13.5">
      <c r="B126" s="278" t="s">
        <v>901</v>
      </c>
      <c r="C126" s="280" t="s">
        <v>1146</v>
      </c>
      <c r="D126" s="283">
        <v>0</v>
      </c>
      <c r="E126" s="285">
        <v>1268</v>
      </c>
      <c r="F126" s="283">
        <v>477.39</v>
      </c>
      <c r="G126" s="61">
        <v>1078.83</v>
      </c>
    </row>
    <row r="127" spans="2:7" ht="13.5">
      <c r="B127" s="278" t="s">
        <v>902</v>
      </c>
      <c r="C127" s="280" t="s">
        <v>1147</v>
      </c>
      <c r="D127" s="283">
        <v>0</v>
      </c>
      <c r="E127" s="285">
        <v>0</v>
      </c>
      <c r="F127" s="283">
        <v>0</v>
      </c>
      <c r="G127" s="61">
        <v>3361.78</v>
      </c>
    </row>
    <row r="128" spans="2:7" ht="13.5">
      <c r="B128" s="278" t="s">
        <v>904</v>
      </c>
      <c r="C128" s="280" t="s">
        <v>905</v>
      </c>
      <c r="D128" s="283">
        <v>94.38</v>
      </c>
      <c r="E128" s="285">
        <v>1162.39</v>
      </c>
      <c r="F128" s="283">
        <v>99.67</v>
      </c>
      <c r="G128" s="61">
        <v>444.53</v>
      </c>
    </row>
    <row r="129" spans="2:7" ht="13.5">
      <c r="B129" s="278" t="s">
        <v>1020</v>
      </c>
      <c r="C129" s="280" t="s">
        <v>1148</v>
      </c>
      <c r="D129" s="295">
        <v>1421.3600000000001</v>
      </c>
      <c r="E129" s="285">
        <v>6414.64</v>
      </c>
      <c r="F129" s="283">
        <v>1344.7</v>
      </c>
      <c r="G129" s="61">
        <v>692.92</v>
      </c>
    </row>
    <row r="130" spans="2:8" ht="13.5">
      <c r="B130" s="278" t="s">
        <v>1149</v>
      </c>
      <c r="C130" s="280" t="s">
        <v>1150</v>
      </c>
      <c r="D130" s="295">
        <v>0</v>
      </c>
      <c r="E130" s="285">
        <v>0</v>
      </c>
      <c r="F130" s="295">
        <v>3279.7999999999997</v>
      </c>
      <c r="G130" s="61">
        <v>8586.35</v>
      </c>
      <c r="H130" t="s">
        <v>1296</v>
      </c>
    </row>
    <row r="131" spans="2:8" ht="13.5">
      <c r="B131" s="278" t="s">
        <v>1151</v>
      </c>
      <c r="C131" s="280" t="s">
        <v>1152</v>
      </c>
      <c r="D131" s="295">
        <v>1876.9699999999998</v>
      </c>
      <c r="E131" s="285">
        <v>2605.88</v>
      </c>
      <c r="F131" s="283">
        <v>1198.64</v>
      </c>
      <c r="G131" s="61">
        <v>0</v>
      </c>
      <c r="H131" t="s">
        <v>1297</v>
      </c>
    </row>
    <row r="132" spans="2:8" ht="13.5">
      <c r="B132" s="278" t="s">
        <v>1153</v>
      </c>
      <c r="C132" s="280" t="s">
        <v>1154</v>
      </c>
      <c r="D132" s="295">
        <v>464.06</v>
      </c>
      <c r="E132" s="285">
        <v>1919.96</v>
      </c>
      <c r="F132" s="283">
        <v>1857.26</v>
      </c>
      <c r="G132" s="61">
        <v>316.48</v>
      </c>
      <c r="H132" t="s">
        <v>1298</v>
      </c>
    </row>
    <row r="133" spans="2:8" ht="13.5">
      <c r="B133" s="278" t="s">
        <v>1155</v>
      </c>
      <c r="C133" s="280" t="s">
        <v>316</v>
      </c>
      <c r="D133" s="295">
        <v>8.18</v>
      </c>
      <c r="E133" s="285">
        <v>10.31</v>
      </c>
      <c r="F133" s="283">
        <v>30.509999999999998</v>
      </c>
      <c r="G133" s="61">
        <v>66.99</v>
      </c>
      <c r="H133" s="1" t="s">
        <v>1299</v>
      </c>
    </row>
    <row r="134" spans="1:7" ht="13.5">
      <c r="A134" s="1" t="s">
        <v>850</v>
      </c>
      <c r="B134" s="278" t="s">
        <v>1156</v>
      </c>
      <c r="C134" s="280" t="s">
        <v>1157</v>
      </c>
      <c r="D134" s="295">
        <v>0</v>
      </c>
      <c r="E134" s="285">
        <v>1082</v>
      </c>
      <c r="F134" s="283">
        <v>3085.6</v>
      </c>
      <c r="G134" s="61">
        <v>2077.9700000000003</v>
      </c>
    </row>
    <row r="135" spans="1:8" ht="13.5">
      <c r="A135" s="1" t="s">
        <v>850</v>
      </c>
      <c r="B135" s="278" t="s">
        <v>1158</v>
      </c>
      <c r="C135" s="280" t="s">
        <v>1159</v>
      </c>
      <c r="D135" s="283">
        <v>705.4099999999999</v>
      </c>
      <c r="E135" s="285">
        <v>231.62999999999994</v>
      </c>
      <c r="F135" s="283">
        <v>26.18</v>
      </c>
      <c r="G135" s="61">
        <v>58.35</v>
      </c>
      <c r="H135">
        <v>11</v>
      </c>
    </row>
    <row r="136" spans="1:7" ht="13.5">
      <c r="A136" s="1" t="s">
        <v>850</v>
      </c>
      <c r="B136" s="278" t="s">
        <v>1040</v>
      </c>
      <c r="C136" s="280" t="s">
        <v>1160</v>
      </c>
      <c r="D136" s="283">
        <v>0</v>
      </c>
      <c r="E136" s="285">
        <v>80.17999999999999</v>
      </c>
      <c r="F136" s="283">
        <v>262.82000000000005</v>
      </c>
      <c r="G136" s="61">
        <v>0</v>
      </c>
    </row>
    <row r="137" spans="1:7" ht="13.5">
      <c r="A137" s="1" t="s">
        <v>850</v>
      </c>
      <c r="B137" s="278" t="s">
        <v>881</v>
      </c>
      <c r="C137" s="280" t="s">
        <v>1161</v>
      </c>
      <c r="D137" s="283">
        <v>0</v>
      </c>
      <c r="E137" s="285">
        <v>0</v>
      </c>
      <c r="F137" s="283">
        <v>10496.51</v>
      </c>
      <c r="G137" s="61">
        <v>10700</v>
      </c>
    </row>
    <row r="138" spans="2:7" ht="13.5">
      <c r="B138" s="278" t="s">
        <v>891</v>
      </c>
      <c r="C138" s="280" t="s">
        <v>1162</v>
      </c>
      <c r="D138" s="283">
        <v>4137</v>
      </c>
      <c r="E138" s="285">
        <v>3447.91</v>
      </c>
      <c r="F138" s="283">
        <v>3644.3100000000004</v>
      </c>
      <c r="G138" s="61">
        <v>4448.860000000001</v>
      </c>
    </row>
    <row r="139" spans="2:8" ht="13.5">
      <c r="B139" s="278" t="s">
        <v>1163</v>
      </c>
      <c r="C139" s="280" t="s">
        <v>1164</v>
      </c>
      <c r="D139" s="283">
        <v>0</v>
      </c>
      <c r="E139" s="296">
        <v>1467.94</v>
      </c>
      <c r="F139" s="283">
        <v>305.1</v>
      </c>
      <c r="G139" s="61">
        <v>0</v>
      </c>
      <c r="H139" t="s">
        <v>1293</v>
      </c>
    </row>
    <row r="140" spans="2:7" ht="13.5">
      <c r="B140" s="278" t="s">
        <v>954</v>
      </c>
      <c r="C140" s="280" t="s">
        <v>1165</v>
      </c>
      <c r="D140" s="295">
        <v>0</v>
      </c>
      <c r="E140" s="285">
        <v>227.64999999999998</v>
      </c>
      <c r="F140" s="283">
        <v>553.6199999999999</v>
      </c>
      <c r="G140" s="61">
        <v>170.81</v>
      </c>
    </row>
    <row r="141" spans="2:7" ht="13.5">
      <c r="B141" s="278" t="s">
        <v>972</v>
      </c>
      <c r="C141" s="280" t="s">
        <v>1166</v>
      </c>
      <c r="D141" s="295">
        <v>0</v>
      </c>
      <c r="E141" s="285">
        <v>658.91</v>
      </c>
      <c r="F141" s="283">
        <v>584.77</v>
      </c>
      <c r="G141" s="61">
        <v>1992.24</v>
      </c>
    </row>
    <row r="142" spans="2:7" ht="13.5">
      <c r="B142" s="278" t="s">
        <v>959</v>
      </c>
      <c r="C142" s="280" t="s">
        <v>1167</v>
      </c>
      <c r="D142" s="295">
        <v>0</v>
      </c>
      <c r="E142" s="285">
        <v>0</v>
      </c>
      <c r="F142" s="283">
        <v>0</v>
      </c>
      <c r="G142" s="61">
        <v>0</v>
      </c>
    </row>
    <row r="143" spans="2:7" ht="13.5">
      <c r="B143" s="278" t="s">
        <v>926</v>
      </c>
      <c r="C143" s="280" t="s">
        <v>1168</v>
      </c>
      <c r="D143" s="283">
        <v>2437.5400000000004</v>
      </c>
      <c r="E143" s="296">
        <v>2576.120000000001</v>
      </c>
      <c r="F143" s="283">
        <v>3266.3999999999996</v>
      </c>
      <c r="G143" s="61">
        <v>1838.88</v>
      </c>
    </row>
    <row r="144" spans="2:7" ht="13.5">
      <c r="B144" s="278" t="s">
        <v>930</v>
      </c>
      <c r="C144" s="280" t="s">
        <v>1169</v>
      </c>
      <c r="D144" s="283">
        <v>0</v>
      </c>
      <c r="E144" s="285">
        <v>0</v>
      </c>
      <c r="F144" s="283">
        <v>0</v>
      </c>
      <c r="G144" s="61">
        <v>0</v>
      </c>
    </row>
    <row r="145" spans="2:7" ht="13.5">
      <c r="B145" s="278" t="s">
        <v>933</v>
      </c>
      <c r="C145" s="280" t="s">
        <v>1170</v>
      </c>
      <c r="D145" s="283">
        <v>5.11</v>
      </c>
      <c r="E145" s="285">
        <v>542.17</v>
      </c>
      <c r="F145" s="283">
        <v>2149.06</v>
      </c>
      <c r="G145" s="61">
        <v>4906.66</v>
      </c>
    </row>
    <row r="146" spans="2:7" ht="13.5">
      <c r="B146" s="278" t="s">
        <v>936</v>
      </c>
      <c r="C146" s="280" t="s">
        <v>1171</v>
      </c>
      <c r="D146" s="283">
        <v>0</v>
      </c>
      <c r="E146" s="285">
        <v>0</v>
      </c>
      <c r="F146" s="283">
        <v>101.7</v>
      </c>
      <c r="G146" s="61">
        <v>87.34</v>
      </c>
    </row>
    <row r="147" spans="2:7" ht="13.5">
      <c r="B147" s="278" t="s">
        <v>941</v>
      </c>
      <c r="C147" s="280" t="s">
        <v>1172</v>
      </c>
      <c r="D147" s="283">
        <v>0</v>
      </c>
      <c r="E147" s="285">
        <v>1855.34</v>
      </c>
      <c r="F147" s="283">
        <v>1220.39</v>
      </c>
      <c r="G147" s="61">
        <v>0</v>
      </c>
    </row>
    <row r="148" spans="2:7" ht="13.5">
      <c r="B148" s="278" t="s">
        <v>944</v>
      </c>
      <c r="C148" s="280" t="s">
        <v>1173</v>
      </c>
      <c r="D148" s="283">
        <v>4012.45</v>
      </c>
      <c r="E148" s="285">
        <v>2373.91</v>
      </c>
      <c r="F148" s="283">
        <v>26.8</v>
      </c>
      <c r="G148" s="61">
        <v>1049.63</v>
      </c>
    </row>
    <row r="149" spans="2:7" ht="13.5">
      <c r="B149" s="278" t="s">
        <v>974</v>
      </c>
      <c r="C149" s="280" t="s">
        <v>1174</v>
      </c>
      <c r="D149" s="283">
        <v>1326</v>
      </c>
      <c r="E149" s="285">
        <v>662.73</v>
      </c>
      <c r="F149" s="283">
        <v>2881.0299999999997</v>
      </c>
      <c r="G149" s="61">
        <v>1949.51</v>
      </c>
    </row>
    <row r="150" spans="2:7" ht="13.5">
      <c r="B150" s="278" t="s">
        <v>975</v>
      </c>
      <c r="C150" s="280" t="s">
        <v>1175</v>
      </c>
      <c r="D150" s="283">
        <v>0</v>
      </c>
      <c r="E150" s="296">
        <v>3142.3500000000004</v>
      </c>
      <c r="F150" s="283">
        <v>4323.0599999999995</v>
      </c>
      <c r="G150" s="61">
        <v>1343.96</v>
      </c>
    </row>
    <row r="151" spans="1:7" ht="13.5">
      <c r="A151" s="1" t="s">
        <v>850</v>
      </c>
      <c r="B151" s="278" t="s">
        <v>1015</v>
      </c>
      <c r="C151" s="280" t="s">
        <v>1176</v>
      </c>
      <c r="D151" s="283">
        <v>0</v>
      </c>
      <c r="E151" s="285">
        <v>0</v>
      </c>
      <c r="F151" s="283">
        <v>0</v>
      </c>
      <c r="G151" s="61">
        <v>0</v>
      </c>
    </row>
    <row r="152" spans="2:7" ht="13.5">
      <c r="B152" s="278" t="s">
        <v>976</v>
      </c>
      <c r="C152" s="280" t="s">
        <v>1177</v>
      </c>
      <c r="D152" s="295">
        <v>0</v>
      </c>
      <c r="E152" s="285">
        <v>0</v>
      </c>
      <c r="F152" s="283">
        <v>0</v>
      </c>
      <c r="G152" s="61">
        <v>589.5699999999999</v>
      </c>
    </row>
    <row r="153" spans="2:7" ht="13.5">
      <c r="B153" s="278" t="s">
        <v>1018</v>
      </c>
      <c r="C153" s="280" t="s">
        <v>1178</v>
      </c>
      <c r="D153" s="295">
        <v>0</v>
      </c>
      <c r="E153" s="285">
        <v>1240.6799999999998</v>
      </c>
      <c r="F153" s="283">
        <v>0</v>
      </c>
      <c r="G153" s="61">
        <v>1422.38</v>
      </c>
    </row>
    <row r="154" spans="2:7" ht="13.5">
      <c r="B154" s="278" t="s">
        <v>1000</v>
      </c>
      <c r="C154" s="280" t="s">
        <v>1179</v>
      </c>
      <c r="D154" s="295">
        <v>0</v>
      </c>
      <c r="E154" s="285">
        <v>0</v>
      </c>
      <c r="F154" s="283">
        <v>735.7600000000001</v>
      </c>
      <c r="G154" s="61">
        <v>1892.6499999999999</v>
      </c>
    </row>
    <row r="155" spans="2:8" ht="13.5">
      <c r="B155" s="278" t="s">
        <v>1180</v>
      </c>
      <c r="C155" s="280" t="s">
        <v>1181</v>
      </c>
      <c r="D155" s="283">
        <v>0</v>
      </c>
      <c r="E155" s="285">
        <v>0</v>
      </c>
      <c r="F155" s="283">
        <v>866.97</v>
      </c>
      <c r="G155" s="61">
        <v>1518.81</v>
      </c>
      <c r="H155" t="s">
        <v>503</v>
      </c>
    </row>
    <row r="156" spans="2:7" ht="13.5">
      <c r="B156" s="278" t="s">
        <v>957</v>
      </c>
      <c r="C156" s="280" t="s">
        <v>1182</v>
      </c>
      <c r="D156" s="295">
        <v>306.12</v>
      </c>
      <c r="E156" s="285">
        <v>61.49</v>
      </c>
      <c r="F156" s="283">
        <v>0</v>
      </c>
      <c r="G156" s="61">
        <v>0</v>
      </c>
    </row>
    <row r="157" spans="2:7" ht="13.5">
      <c r="B157" s="278" t="s">
        <v>956</v>
      </c>
      <c r="C157" s="280" t="s">
        <v>1183</v>
      </c>
      <c r="D157" s="295">
        <v>96.94</v>
      </c>
      <c r="E157" s="285">
        <v>85.13000000000001</v>
      </c>
      <c r="F157" s="283">
        <v>1356.37</v>
      </c>
      <c r="G157" s="61">
        <v>1016.2400000000001</v>
      </c>
    </row>
    <row r="158" spans="1:7" ht="13.5">
      <c r="A158" s="1" t="s">
        <v>850</v>
      </c>
      <c r="B158" s="278" t="s">
        <v>964</v>
      </c>
      <c r="C158" s="280" t="s">
        <v>1184</v>
      </c>
      <c r="D158" s="283">
        <v>79.9</v>
      </c>
      <c r="E158" s="285">
        <v>43.76</v>
      </c>
      <c r="F158" s="283">
        <v>552.65</v>
      </c>
      <c r="G158" s="61">
        <v>0</v>
      </c>
    </row>
    <row r="159" spans="2:8" ht="13.5">
      <c r="B159" s="278" t="s">
        <v>1185</v>
      </c>
      <c r="C159" s="280" t="s">
        <v>1186</v>
      </c>
      <c r="D159" s="283">
        <v>0</v>
      </c>
      <c r="E159" s="285">
        <v>0</v>
      </c>
      <c r="F159" s="283">
        <v>0</v>
      </c>
      <c r="G159" s="61">
        <v>0</v>
      </c>
      <c r="H159" t="s">
        <v>1295</v>
      </c>
    </row>
    <row r="160" spans="2:7" ht="13.5">
      <c r="B160" s="278" t="s">
        <v>967</v>
      </c>
      <c r="C160" s="280" t="s">
        <v>1187</v>
      </c>
      <c r="D160" s="295">
        <v>0</v>
      </c>
      <c r="E160" s="285">
        <v>0</v>
      </c>
      <c r="F160" s="283">
        <v>855.96</v>
      </c>
      <c r="G160" s="61">
        <v>394.92</v>
      </c>
    </row>
    <row r="161" spans="2:7" ht="13.5">
      <c r="B161" s="278" t="s">
        <v>1034</v>
      </c>
      <c r="C161" s="280" t="s">
        <v>340</v>
      </c>
      <c r="D161" s="295">
        <v>676.08</v>
      </c>
      <c r="E161" s="285">
        <v>768.38</v>
      </c>
      <c r="F161" s="283">
        <v>2259.09</v>
      </c>
      <c r="G161" s="61">
        <v>468.89</v>
      </c>
    </row>
    <row r="162" spans="1:7" ht="13.5">
      <c r="A162" s="1" t="s">
        <v>850</v>
      </c>
      <c r="B162" s="278" t="s">
        <v>914</v>
      </c>
      <c r="C162" s="280" t="s">
        <v>1188</v>
      </c>
      <c r="D162" s="283">
        <v>200</v>
      </c>
      <c r="E162" s="285">
        <v>1349.4</v>
      </c>
      <c r="F162" s="283">
        <v>2917.05</v>
      </c>
      <c r="G162" s="61">
        <v>3633.04</v>
      </c>
    </row>
    <row r="163" spans="2:7" ht="13.5">
      <c r="B163" s="278" t="s">
        <v>1052</v>
      </c>
      <c r="C163" s="280" t="s">
        <v>1189</v>
      </c>
      <c r="D163" s="283">
        <v>0</v>
      </c>
      <c r="E163" s="285">
        <v>127.78999999999999</v>
      </c>
      <c r="F163" s="283">
        <v>24.12</v>
      </c>
      <c r="G163" s="61">
        <v>0</v>
      </c>
    </row>
    <row r="164" spans="2:7" ht="13.5">
      <c r="B164" s="278" t="s">
        <v>1055</v>
      </c>
      <c r="C164" s="280" t="s">
        <v>1190</v>
      </c>
      <c r="D164" s="283">
        <v>0</v>
      </c>
      <c r="E164" s="285">
        <v>323.28999999999996</v>
      </c>
      <c r="F164" s="283">
        <v>0</v>
      </c>
      <c r="G164" s="61">
        <v>0</v>
      </c>
    </row>
    <row r="165" spans="2:7" ht="13.5">
      <c r="B165" s="278" t="s">
        <v>1058</v>
      </c>
      <c r="C165" s="280" t="s">
        <v>1191</v>
      </c>
      <c r="D165" s="283">
        <v>0</v>
      </c>
      <c r="E165" s="285">
        <v>0</v>
      </c>
      <c r="F165" s="283">
        <v>0</v>
      </c>
      <c r="G165" s="61">
        <v>0</v>
      </c>
    </row>
    <row r="166" spans="2:8" ht="13.5">
      <c r="B166" s="278" t="s">
        <v>1192</v>
      </c>
      <c r="C166" s="280" t="s">
        <v>1193</v>
      </c>
      <c r="D166" s="283">
        <v>0</v>
      </c>
      <c r="E166" s="285">
        <v>0</v>
      </c>
      <c r="F166" s="283">
        <v>0</v>
      </c>
      <c r="G166" s="61">
        <v>0</v>
      </c>
      <c r="H166" t="s">
        <v>1294</v>
      </c>
    </row>
    <row r="167" spans="2:7" ht="13.5">
      <c r="B167" s="278" t="s">
        <v>1048</v>
      </c>
      <c r="C167" s="280" t="s">
        <v>1194</v>
      </c>
      <c r="D167" s="283">
        <v>0</v>
      </c>
      <c r="E167" s="285">
        <v>0</v>
      </c>
      <c r="F167" s="283">
        <v>0</v>
      </c>
      <c r="G167" s="61">
        <v>0</v>
      </c>
    </row>
    <row r="168" spans="2:7" ht="13.5">
      <c r="B168" s="278" t="s">
        <v>1004</v>
      </c>
      <c r="C168" s="280" t="s">
        <v>1195</v>
      </c>
      <c r="D168" s="283">
        <v>0</v>
      </c>
      <c r="E168" s="296">
        <v>33482.045</v>
      </c>
      <c r="F168" s="283">
        <v>29460</v>
      </c>
      <c r="G168" s="61">
        <v>0</v>
      </c>
    </row>
    <row r="169" spans="2:7" ht="13.5">
      <c r="B169" s="278" t="s">
        <v>1004</v>
      </c>
      <c r="C169" s="280" t="s">
        <v>1195</v>
      </c>
      <c r="D169" s="283">
        <v>0</v>
      </c>
      <c r="E169" s="296">
        <v>34226.265</v>
      </c>
      <c r="F169" s="283">
        <v>0</v>
      </c>
      <c r="G169" s="61">
        <v>0</v>
      </c>
    </row>
    <row r="170" spans="2:7" ht="13.5">
      <c r="B170" s="278" t="s">
        <v>942</v>
      </c>
      <c r="C170" s="280" t="s">
        <v>1196</v>
      </c>
      <c r="D170" s="283">
        <v>0</v>
      </c>
      <c r="E170" s="285">
        <v>1024.81</v>
      </c>
      <c r="F170" s="283">
        <v>1601.05</v>
      </c>
      <c r="G170" s="61">
        <v>2335.9500000000003</v>
      </c>
    </row>
    <row r="171" spans="1:7" ht="13.5">
      <c r="A171" s="1" t="s">
        <v>850</v>
      </c>
      <c r="B171" s="278" t="s">
        <v>948</v>
      </c>
      <c r="C171" s="280" t="s">
        <v>1197</v>
      </c>
      <c r="D171" s="283">
        <v>175.87</v>
      </c>
      <c r="E171" s="285">
        <v>2284.15</v>
      </c>
      <c r="F171" s="283">
        <v>255.27</v>
      </c>
      <c r="G171" s="61">
        <v>0</v>
      </c>
    </row>
    <row r="172" spans="2:7" ht="13.5">
      <c r="B172" s="278" t="s">
        <v>893</v>
      </c>
      <c r="C172" s="280" t="s">
        <v>1198</v>
      </c>
      <c r="D172" s="283">
        <v>0</v>
      </c>
      <c r="E172" s="285">
        <v>583.78</v>
      </c>
      <c r="F172" s="283">
        <v>301.65999999999997</v>
      </c>
      <c r="G172" s="61">
        <v>1709.5900000000001</v>
      </c>
    </row>
    <row r="173" spans="2:7" ht="13.5">
      <c r="B173" s="278" t="s">
        <v>894</v>
      </c>
      <c r="C173" s="280" t="s">
        <v>1199</v>
      </c>
      <c r="D173" s="283">
        <v>400</v>
      </c>
      <c r="E173" s="285">
        <v>927.6700000000001</v>
      </c>
      <c r="F173" s="283">
        <v>931.5</v>
      </c>
      <c r="G173" s="61">
        <v>337.73</v>
      </c>
    </row>
    <row r="174" spans="2:7" ht="13.5">
      <c r="B174" s="278" t="s">
        <v>895</v>
      </c>
      <c r="C174" s="280" t="s">
        <v>1200</v>
      </c>
      <c r="D174" s="283">
        <v>0</v>
      </c>
      <c r="E174" s="285">
        <v>0</v>
      </c>
      <c r="F174" s="283">
        <v>0</v>
      </c>
      <c r="G174" s="61">
        <v>1777.1536</v>
      </c>
    </row>
    <row r="175" spans="2:7" ht="13.5">
      <c r="B175" s="278" t="s">
        <v>896</v>
      </c>
      <c r="C175" s="280" t="s">
        <v>903</v>
      </c>
      <c r="D175" s="283">
        <v>34.05</v>
      </c>
      <c r="E175" s="285">
        <v>91.2</v>
      </c>
      <c r="F175" s="283">
        <v>99.62</v>
      </c>
      <c r="G175" s="61">
        <v>0</v>
      </c>
    </row>
    <row r="176" spans="2:7" ht="13.5">
      <c r="B176" s="278" t="s">
        <v>1021</v>
      </c>
      <c r="C176" s="280" t="s">
        <v>1201</v>
      </c>
      <c r="D176" s="295">
        <v>10.2</v>
      </c>
      <c r="E176" s="285">
        <v>100.66999999999999</v>
      </c>
      <c r="F176" s="283">
        <v>826.2299999999999</v>
      </c>
      <c r="G176" s="61">
        <v>168.4</v>
      </c>
    </row>
    <row r="177" spans="2:8" ht="13.5">
      <c r="B177" s="278" t="s">
        <v>1202</v>
      </c>
      <c r="C177" s="280" t="s">
        <v>1203</v>
      </c>
      <c r="D177" s="295">
        <v>0</v>
      </c>
      <c r="E177" s="285">
        <v>0</v>
      </c>
      <c r="F177" s="283">
        <v>0</v>
      </c>
      <c r="G177" s="61">
        <v>13584.08</v>
      </c>
      <c r="H177" t="s">
        <v>1296</v>
      </c>
    </row>
    <row r="178" spans="2:8" ht="13.5">
      <c r="B178" s="278" t="s">
        <v>1204</v>
      </c>
      <c r="C178" s="280" t="s">
        <v>1205</v>
      </c>
      <c r="D178" s="295">
        <v>604.6</v>
      </c>
      <c r="E178" s="285">
        <v>3431.1899999999996</v>
      </c>
      <c r="F178" s="283">
        <v>2000.8100000000002</v>
      </c>
      <c r="G178" s="61">
        <v>416.33</v>
      </c>
      <c r="H178" t="s">
        <v>1297</v>
      </c>
    </row>
    <row r="179" spans="2:8" ht="13.5">
      <c r="B179" s="278" t="s">
        <v>1206</v>
      </c>
      <c r="C179" s="280" t="s">
        <v>1207</v>
      </c>
      <c r="D179" s="295">
        <v>39.84</v>
      </c>
      <c r="E179" s="285">
        <v>502.42</v>
      </c>
      <c r="F179" s="283">
        <v>1448.4099999999999</v>
      </c>
      <c r="G179" s="61">
        <v>528.4200000000001</v>
      </c>
      <c r="H179" t="s">
        <v>1298</v>
      </c>
    </row>
    <row r="180" spans="2:8" ht="13.5">
      <c r="B180" s="278" t="s">
        <v>1208</v>
      </c>
      <c r="C180" s="280" t="s">
        <v>1209</v>
      </c>
      <c r="D180" s="295">
        <v>0</v>
      </c>
      <c r="E180" s="285">
        <v>67.41</v>
      </c>
      <c r="F180" s="283">
        <v>55.64</v>
      </c>
      <c r="G180" s="61">
        <v>0</v>
      </c>
      <c r="H180" t="s">
        <v>1299</v>
      </c>
    </row>
    <row r="181" spans="1:7" ht="13.5">
      <c r="A181" s="1" t="s">
        <v>850</v>
      </c>
      <c r="B181" s="278" t="s">
        <v>1210</v>
      </c>
      <c r="C181" s="280" t="s">
        <v>1211</v>
      </c>
      <c r="D181" s="295">
        <v>0</v>
      </c>
      <c r="E181" s="285">
        <v>0</v>
      </c>
      <c r="F181" s="283">
        <v>1725.93</v>
      </c>
      <c r="G181" s="61">
        <v>671</v>
      </c>
    </row>
    <row r="182" spans="1:8" ht="13.5">
      <c r="A182" s="1" t="s">
        <v>850</v>
      </c>
      <c r="B182" s="278" t="s">
        <v>1212</v>
      </c>
      <c r="C182" s="280" t="s">
        <v>1213</v>
      </c>
      <c r="D182" s="283">
        <v>42.800000000000004</v>
      </c>
      <c r="E182" s="285">
        <v>3.02</v>
      </c>
      <c r="F182" s="283">
        <v>9.219999999999999</v>
      </c>
      <c r="G182" s="61">
        <v>32.269999999999996</v>
      </c>
      <c r="H182">
        <v>11</v>
      </c>
    </row>
    <row r="183" spans="1:7" ht="13.5">
      <c r="A183" s="1" t="s">
        <v>850</v>
      </c>
      <c r="B183" s="278" t="s">
        <v>1041</v>
      </c>
      <c r="C183" s="280" t="s">
        <v>1214</v>
      </c>
      <c r="D183" s="283">
        <v>0</v>
      </c>
      <c r="E183" s="285">
        <v>37.27</v>
      </c>
      <c r="F183" s="283">
        <v>840.48</v>
      </c>
      <c r="G183" s="61">
        <v>16.6</v>
      </c>
    </row>
    <row r="184" spans="1:7" ht="13.5">
      <c r="A184" s="1" t="s">
        <v>850</v>
      </c>
      <c r="B184" s="278" t="s">
        <v>885</v>
      </c>
      <c r="C184" s="280" t="s">
        <v>1215</v>
      </c>
      <c r="D184" s="283">
        <v>0</v>
      </c>
      <c r="E184" s="285">
        <v>0</v>
      </c>
      <c r="F184" s="283">
        <v>0</v>
      </c>
      <c r="G184" s="61">
        <v>8191.61</v>
      </c>
    </row>
    <row r="185" spans="2:7" ht="13.5">
      <c r="B185" s="278" t="s">
        <v>892</v>
      </c>
      <c r="C185" s="280" t="s">
        <v>1216</v>
      </c>
      <c r="D185" s="283">
        <v>2711</v>
      </c>
      <c r="E185" s="285">
        <v>2828.37</v>
      </c>
      <c r="F185" s="283">
        <v>2841.96</v>
      </c>
      <c r="G185" s="61">
        <v>2712.7799999999997</v>
      </c>
    </row>
    <row r="186" spans="2:8" ht="13.5">
      <c r="B186" s="278" t="s">
        <v>1217</v>
      </c>
      <c r="C186" s="280" t="s">
        <v>1218</v>
      </c>
      <c r="D186" s="283">
        <v>0</v>
      </c>
      <c r="E186" s="296">
        <v>614.89</v>
      </c>
      <c r="F186" s="283">
        <v>61.02</v>
      </c>
      <c r="G186" s="61">
        <v>353.52</v>
      </c>
      <c r="H186" t="s">
        <v>1293</v>
      </c>
    </row>
    <row r="187" spans="2:7" ht="13.5">
      <c r="B187" s="278" t="s">
        <v>955</v>
      </c>
      <c r="C187" s="280" t="s">
        <v>1219</v>
      </c>
      <c r="D187" s="295">
        <v>0</v>
      </c>
      <c r="E187" s="285">
        <v>57.19</v>
      </c>
      <c r="F187" s="283">
        <v>300.3</v>
      </c>
      <c r="G187" s="61">
        <v>316</v>
      </c>
    </row>
    <row r="188" spans="2:7" ht="13.5">
      <c r="B188" s="278" t="s">
        <v>973</v>
      </c>
      <c r="C188" s="280" t="s">
        <v>1220</v>
      </c>
      <c r="D188" s="295">
        <v>732</v>
      </c>
      <c r="E188" s="285">
        <v>732</v>
      </c>
      <c r="F188" s="283">
        <v>0</v>
      </c>
      <c r="G188" s="61">
        <v>0</v>
      </c>
    </row>
    <row r="189" spans="2:7" ht="13.5">
      <c r="B189" s="278" t="s">
        <v>960</v>
      </c>
      <c r="C189" s="280" t="s">
        <v>1221</v>
      </c>
      <c r="D189" s="295">
        <v>0</v>
      </c>
      <c r="E189" s="285">
        <v>0</v>
      </c>
      <c r="F189" s="283">
        <v>0</v>
      </c>
      <c r="G189" s="61">
        <v>0</v>
      </c>
    </row>
    <row r="190" spans="2:7" ht="13.5">
      <c r="B190" s="278" t="s">
        <v>931</v>
      </c>
      <c r="C190" s="280" t="s">
        <v>1222</v>
      </c>
      <c r="D190" s="283">
        <v>0</v>
      </c>
      <c r="E190" s="285">
        <v>0</v>
      </c>
      <c r="F190" s="283">
        <v>0</v>
      </c>
      <c r="G190" s="61">
        <v>528.44</v>
      </c>
    </row>
    <row r="191" spans="2:7" ht="13.5">
      <c r="B191" s="278" t="s">
        <v>934</v>
      </c>
      <c r="C191" s="280" t="s">
        <v>1223</v>
      </c>
      <c r="D191" s="283">
        <v>477.3</v>
      </c>
      <c r="E191" s="285">
        <v>408.55000000000007</v>
      </c>
      <c r="F191" s="283">
        <v>196.48</v>
      </c>
      <c r="G191" s="61">
        <v>864.61</v>
      </c>
    </row>
    <row r="192" spans="2:7" ht="13.5">
      <c r="B192" s="278" t="s">
        <v>937</v>
      </c>
      <c r="C192" s="280" t="s">
        <v>1224</v>
      </c>
      <c r="D192" s="283">
        <v>152.54</v>
      </c>
      <c r="E192" s="285">
        <v>399.66999999999996</v>
      </c>
      <c r="F192" s="283">
        <v>0</v>
      </c>
      <c r="G192" s="61">
        <v>0</v>
      </c>
    </row>
    <row r="193" spans="2:7" ht="13.5">
      <c r="B193" s="278" t="s">
        <v>943</v>
      </c>
      <c r="C193" s="280" t="s">
        <v>1225</v>
      </c>
      <c r="D193" s="283">
        <v>1224.5</v>
      </c>
      <c r="E193" s="285">
        <v>666.13</v>
      </c>
      <c r="F193" s="283">
        <v>926.56</v>
      </c>
      <c r="G193" s="61">
        <v>3588.2</v>
      </c>
    </row>
    <row r="194" spans="2:8" ht="13.5">
      <c r="B194" s="278" t="s">
        <v>1226</v>
      </c>
      <c r="C194" s="280" t="s">
        <v>1227</v>
      </c>
      <c r="D194" s="283">
        <v>4007.96</v>
      </c>
      <c r="E194" s="285">
        <v>4862.74</v>
      </c>
      <c r="F194" s="283">
        <v>4643.4</v>
      </c>
      <c r="G194" s="61">
        <v>7215.870000000001</v>
      </c>
      <c r="H194" t="s">
        <v>1292</v>
      </c>
    </row>
    <row r="195" spans="2:7" ht="13.5">
      <c r="B195" s="278" t="s">
        <v>979</v>
      </c>
      <c r="C195" s="280" t="s">
        <v>1228</v>
      </c>
      <c r="D195" s="283">
        <v>4268.139999999999</v>
      </c>
      <c r="E195" s="285">
        <v>2648.7400000000007</v>
      </c>
      <c r="F195" s="283">
        <v>3749.99</v>
      </c>
      <c r="G195" s="61">
        <v>3554.6200000000003</v>
      </c>
    </row>
    <row r="196" spans="2:7" ht="13.5">
      <c r="B196" s="278" t="s">
        <v>980</v>
      </c>
      <c r="C196" s="280" t="s">
        <v>1229</v>
      </c>
      <c r="D196" s="283">
        <v>2387.88</v>
      </c>
      <c r="E196" s="285">
        <v>0</v>
      </c>
      <c r="F196" s="283">
        <v>1597</v>
      </c>
      <c r="G196" s="61">
        <v>1223.77</v>
      </c>
    </row>
    <row r="197" spans="1:7" ht="13.5">
      <c r="A197" s="1" t="s">
        <v>850</v>
      </c>
      <c r="B197" s="278" t="s">
        <v>1016</v>
      </c>
      <c r="C197" s="280" t="s">
        <v>1230</v>
      </c>
      <c r="D197" s="283">
        <v>0</v>
      </c>
      <c r="E197" s="285">
        <v>0</v>
      </c>
      <c r="F197" s="283">
        <v>0</v>
      </c>
      <c r="G197" s="61">
        <v>0</v>
      </c>
    </row>
    <row r="198" spans="2:7" ht="13.5">
      <c r="B198" s="278" t="s">
        <v>982</v>
      </c>
      <c r="C198" s="280" t="s">
        <v>1231</v>
      </c>
      <c r="D198" s="295">
        <v>0</v>
      </c>
      <c r="E198" s="285">
        <v>0</v>
      </c>
      <c r="F198" s="283">
        <v>703.6</v>
      </c>
      <c r="G198" s="61">
        <v>1223.77</v>
      </c>
    </row>
    <row r="199" spans="2:7" ht="13.5">
      <c r="B199" s="278" t="s">
        <v>1017</v>
      </c>
      <c r="C199" s="280" t="s">
        <v>1232</v>
      </c>
      <c r="D199" s="295">
        <v>3301.69</v>
      </c>
      <c r="E199" s="285">
        <v>10427.529999999999</v>
      </c>
      <c r="F199" s="283">
        <v>-7200</v>
      </c>
      <c r="G199" s="61">
        <v>993.35</v>
      </c>
    </row>
    <row r="200" spans="2:7" ht="13.5">
      <c r="B200" s="278" t="s">
        <v>999</v>
      </c>
      <c r="C200" s="280" t="s">
        <v>1233</v>
      </c>
      <c r="D200" s="295">
        <v>0</v>
      </c>
      <c r="E200" s="285">
        <v>0</v>
      </c>
      <c r="F200" s="283">
        <v>231.33999999999997</v>
      </c>
      <c r="G200" s="61">
        <v>0</v>
      </c>
    </row>
    <row r="201" spans="2:7" ht="13.5">
      <c r="B201" s="278" t="s">
        <v>1049</v>
      </c>
      <c r="C201" s="280" t="s">
        <v>1234</v>
      </c>
      <c r="D201" s="283">
        <v>0</v>
      </c>
      <c r="E201" s="285">
        <v>309.22</v>
      </c>
      <c r="F201" s="283">
        <v>0</v>
      </c>
      <c r="G201" s="61">
        <v>0</v>
      </c>
    </row>
    <row r="202" spans="2:7" ht="15" customHeight="1" thickBot="1">
      <c r="B202" s="278" t="s">
        <v>1235</v>
      </c>
      <c r="C202" s="281" t="s">
        <v>1235</v>
      </c>
      <c r="D202" s="287">
        <v>20403.72099999999</v>
      </c>
      <c r="E202" s="287">
        <v>46388.20199999999</v>
      </c>
      <c r="F202" s="287">
        <v>38980.99499999999</v>
      </c>
      <c r="G202" s="402">
        <f>SUM(G2:G201)*10%</f>
        <v>30245.07486</v>
      </c>
    </row>
    <row r="203" spans="3:7" ht="15" thickBot="1">
      <c r="C203" s="290" t="s">
        <v>1236</v>
      </c>
      <c r="D203" s="288">
        <f>SUM(D2:D202)</f>
        <v>224440.9309999999</v>
      </c>
      <c r="E203" s="288">
        <f>SUM(E2:E202)</f>
        <v>510270.2219999999</v>
      </c>
      <c r="F203" s="289">
        <f>SUM(F2:F202)</f>
        <v>428790.9449999999</v>
      </c>
      <c r="G203" s="289">
        <f>SUM(G2:G202)</f>
        <v>332695.82346</v>
      </c>
    </row>
  </sheetData>
  <sheetProtection/>
  <autoFilter ref="A1:H203"/>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E16"/>
  <sheetViews>
    <sheetView workbookViewId="0" topLeftCell="A1">
      <selection activeCell="A1" sqref="A1"/>
    </sheetView>
  </sheetViews>
  <sheetFormatPr defaultColWidth="11.421875" defaultRowHeight="15"/>
  <cols>
    <col min="1" max="1" width="39.00390625" style="0" customWidth="1"/>
    <col min="2" max="2" width="10.140625" style="32" customWidth="1"/>
    <col min="3" max="3" width="9.140625" style="0" customWidth="1"/>
    <col min="4" max="4" width="41.00390625" style="0" customWidth="1"/>
    <col min="5" max="5" width="10.140625" style="0" customWidth="1"/>
  </cols>
  <sheetData>
    <row r="1" ht="18">
      <c r="A1" s="209" t="s">
        <v>835</v>
      </c>
    </row>
    <row r="4" spans="1:5" ht="13.5">
      <c r="A4" s="161" t="s">
        <v>79</v>
      </c>
      <c r="B4" s="165"/>
      <c r="D4" s="161" t="s">
        <v>79</v>
      </c>
      <c r="E4" s="165"/>
    </row>
    <row r="5" spans="1:5" ht="13.5">
      <c r="A5" s="206" t="s">
        <v>798</v>
      </c>
      <c r="B5" s="163" t="s">
        <v>799</v>
      </c>
      <c r="D5" s="206" t="s">
        <v>502</v>
      </c>
      <c r="E5" s="163" t="s">
        <v>799</v>
      </c>
    </row>
    <row r="6" spans="1:5" ht="13.5">
      <c r="A6" s="160" t="s">
        <v>59</v>
      </c>
      <c r="B6" s="165">
        <v>195243.63113999998</v>
      </c>
      <c r="D6" s="160" t="s">
        <v>32</v>
      </c>
      <c r="E6" s="165">
        <v>17600</v>
      </c>
    </row>
    <row r="7" spans="1:5" ht="13.5">
      <c r="A7" s="162" t="s">
        <v>58</v>
      </c>
      <c r="B7" s="166">
        <v>104619.00099999999</v>
      </c>
      <c r="D7" s="162" t="s">
        <v>29</v>
      </c>
      <c r="E7" s="166">
        <v>74000</v>
      </c>
    </row>
    <row r="8" spans="1:5" ht="13.5">
      <c r="A8" s="162" t="s">
        <v>48</v>
      </c>
      <c r="B8" s="166">
        <v>103800</v>
      </c>
      <c r="D8" s="162" t="s">
        <v>26</v>
      </c>
      <c r="E8" s="166">
        <v>209649.001</v>
      </c>
    </row>
    <row r="9" spans="1:5" ht="13.5">
      <c r="A9" s="162" t="s">
        <v>852</v>
      </c>
      <c r="B9" s="166">
        <v>15400</v>
      </c>
      <c r="D9" s="162" t="s">
        <v>31</v>
      </c>
      <c r="E9" s="166">
        <v>24750</v>
      </c>
    </row>
    <row r="10" spans="1:5" ht="13.5">
      <c r="A10" s="162" t="s">
        <v>854</v>
      </c>
      <c r="B10" s="166">
        <v>38900</v>
      </c>
      <c r="D10" s="162" t="s">
        <v>8</v>
      </c>
      <c r="E10" s="166">
        <v>40200</v>
      </c>
    </row>
    <row r="11" spans="1:5" ht="13.5">
      <c r="A11" s="162" t="s">
        <v>855</v>
      </c>
      <c r="B11" s="166">
        <v>12600</v>
      </c>
      <c r="D11" s="162" t="s">
        <v>34</v>
      </c>
      <c r="E11" s="166">
        <v>115350.00099999999</v>
      </c>
    </row>
    <row r="12" spans="1:5" ht="13.5">
      <c r="A12" s="162" t="s">
        <v>44</v>
      </c>
      <c r="B12" s="166">
        <v>3600</v>
      </c>
      <c r="D12" s="162" t="s">
        <v>33</v>
      </c>
      <c r="E12" s="166">
        <v>51800</v>
      </c>
    </row>
    <row r="13" spans="1:5" ht="13.5">
      <c r="A13" s="162" t="s">
        <v>856</v>
      </c>
      <c r="B13" s="166">
        <v>220170</v>
      </c>
      <c r="D13" s="162" t="s">
        <v>27</v>
      </c>
      <c r="E13" s="166">
        <v>36740</v>
      </c>
    </row>
    <row r="14" spans="1:5" ht="13.5">
      <c r="A14" s="207" t="s">
        <v>80</v>
      </c>
      <c r="B14" s="208">
        <v>694332.63214</v>
      </c>
      <c r="D14" s="162" t="s">
        <v>28</v>
      </c>
      <c r="E14" s="166">
        <v>78820</v>
      </c>
    </row>
    <row r="15" spans="4:5" ht="13.5">
      <c r="D15" s="162" t="s">
        <v>35</v>
      </c>
      <c r="E15" s="166">
        <v>45423.63014</v>
      </c>
    </row>
    <row r="16" spans="4:5" ht="13.5">
      <c r="D16" s="207" t="s">
        <v>80</v>
      </c>
      <c r="E16" s="208">
        <v>694332.63214</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11.421875" defaultRowHeight="15"/>
  <cols>
    <col min="1" max="1" width="40.7109375" style="0" customWidth="1"/>
    <col min="2" max="2" width="7.421875" style="237" customWidth="1"/>
    <col min="3" max="3" width="13.8515625" style="0" customWidth="1"/>
    <col min="4" max="4" width="38.7109375" style="0" customWidth="1"/>
    <col min="5" max="5" width="7.421875" style="0" customWidth="1"/>
    <col min="6" max="6" width="13.8515625" style="0" customWidth="1"/>
  </cols>
  <sheetData>
    <row r="1" ht="18">
      <c r="A1" s="209" t="s">
        <v>835</v>
      </c>
    </row>
    <row r="3" spans="1:5" ht="13.5">
      <c r="A3" s="267" t="s">
        <v>872</v>
      </c>
      <c r="B3" s="270"/>
      <c r="D3" s="267" t="s">
        <v>872</v>
      </c>
      <c r="E3" s="270"/>
    </row>
    <row r="4" spans="1:5" ht="13.5">
      <c r="A4" s="273" t="s">
        <v>502</v>
      </c>
      <c r="B4" s="268" t="s">
        <v>799</v>
      </c>
      <c r="D4" s="273" t="s">
        <v>798</v>
      </c>
      <c r="E4" s="268" t="s">
        <v>799</v>
      </c>
    </row>
    <row r="5" spans="1:5" ht="13.5">
      <c r="A5" s="269" t="s">
        <v>32</v>
      </c>
      <c r="B5" s="270">
        <v>5259.76</v>
      </c>
      <c r="D5" s="269" t="s">
        <v>59</v>
      </c>
      <c r="E5" s="270">
        <v>154682.16819999996</v>
      </c>
    </row>
    <row r="6" spans="1:5" ht="13.5">
      <c r="A6" s="271" t="s">
        <v>29</v>
      </c>
      <c r="B6" s="272">
        <v>66214.14</v>
      </c>
      <c r="D6" s="271" t="s">
        <v>58</v>
      </c>
      <c r="E6" s="272">
        <v>54565.65000000001</v>
      </c>
    </row>
    <row r="7" spans="1:5" ht="13.5">
      <c r="A7" s="271" t="s">
        <v>26</v>
      </c>
      <c r="B7" s="272">
        <v>108613.81999999999</v>
      </c>
      <c r="D7" s="271" t="s">
        <v>48</v>
      </c>
      <c r="E7" s="272">
        <v>113527.97</v>
      </c>
    </row>
    <row r="8" spans="1:5" ht="13.5">
      <c r="A8" s="271" t="s">
        <v>31</v>
      </c>
      <c r="B8" s="272">
        <v>14354.210000000001</v>
      </c>
      <c r="D8" s="271" t="s">
        <v>852</v>
      </c>
      <c r="E8" s="272">
        <v>16550.84</v>
      </c>
    </row>
    <row r="9" spans="1:5" ht="13.5">
      <c r="A9" s="271" t="s">
        <v>8</v>
      </c>
      <c r="B9" s="272">
        <v>30183.34</v>
      </c>
      <c r="D9" s="271" t="s">
        <v>854</v>
      </c>
      <c r="E9" s="272">
        <v>22852.910000000007</v>
      </c>
    </row>
    <row r="10" spans="1:5" ht="13.5">
      <c r="A10" s="271" t="s">
        <v>35</v>
      </c>
      <c r="B10" s="272">
        <v>34983.148199999996</v>
      </c>
      <c r="D10" s="271" t="s">
        <v>855</v>
      </c>
      <c r="E10" s="272">
        <v>4522.06</v>
      </c>
    </row>
    <row r="11" spans="1:5" ht="13.5">
      <c r="A11" s="271" t="s">
        <v>34</v>
      </c>
      <c r="B11" s="272">
        <v>94923.84999999999</v>
      </c>
      <c r="D11" s="271" t="s">
        <v>44</v>
      </c>
      <c r="E11" s="272">
        <v>274.63</v>
      </c>
    </row>
    <row r="12" spans="1:5" ht="13.5">
      <c r="A12" s="271" t="s">
        <v>33</v>
      </c>
      <c r="B12" s="272">
        <v>55471.520000000004</v>
      </c>
      <c r="D12" s="271" t="s">
        <v>856</v>
      </c>
      <c r="E12" s="272">
        <v>167766.17999999996</v>
      </c>
    </row>
    <row r="13" spans="1:5" ht="13.5">
      <c r="A13" s="271" t="s">
        <v>27</v>
      </c>
      <c r="B13" s="272">
        <v>34372.229999999996</v>
      </c>
      <c r="D13" s="275" t="s">
        <v>871</v>
      </c>
      <c r="E13" s="274">
        <v>534742.4082</v>
      </c>
    </row>
    <row r="14" spans="1:2" ht="13.5">
      <c r="A14" s="271" t="s">
        <v>28</v>
      </c>
      <c r="B14" s="272">
        <v>90366.39</v>
      </c>
    </row>
    <row r="15" spans="1:2" ht="13.5">
      <c r="A15" s="275" t="s">
        <v>871</v>
      </c>
      <c r="B15" s="274">
        <v>534742.4082</v>
      </c>
    </row>
    <row r="16" ht="13.5">
      <c r="B16"/>
    </row>
    <row r="17" ht="13.5">
      <c r="B17"/>
    </row>
    <row r="18" ht="13.5">
      <c r="B18"/>
    </row>
    <row r="19" ht="13.5">
      <c r="B19"/>
    </row>
    <row r="20" ht="13.5">
      <c r="B20"/>
    </row>
    <row r="21" ht="13.5">
      <c r="B21"/>
    </row>
    <row r="22" ht="13.5">
      <c r="B22"/>
    </row>
    <row r="23" ht="13.5">
      <c r="B23"/>
    </row>
    <row r="24" ht="13.5">
      <c r="B24"/>
    </row>
    <row r="25" ht="13.5">
      <c r="B25"/>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L19"/>
  <sheetViews>
    <sheetView workbookViewId="0" topLeftCell="A1">
      <selection activeCell="A1" sqref="A1"/>
    </sheetView>
  </sheetViews>
  <sheetFormatPr defaultColWidth="11.421875" defaultRowHeight="15"/>
  <cols>
    <col min="1" max="1" width="47.421875" style="0" customWidth="1"/>
    <col min="2" max="3" width="11.7109375" style="32" customWidth="1"/>
    <col min="4" max="5" width="10.140625" style="32" customWidth="1"/>
    <col min="6" max="6" width="11.7109375" style="0" bestFit="1" customWidth="1"/>
    <col min="7" max="7" width="39.00390625" style="0" customWidth="1"/>
    <col min="8" max="9" width="11.7109375" style="0" customWidth="1"/>
    <col min="10" max="11" width="10.140625" style="0" customWidth="1"/>
    <col min="12" max="12" width="11.7109375" style="0" bestFit="1" customWidth="1"/>
  </cols>
  <sheetData>
    <row r="1" ht="18">
      <c r="A1" s="209" t="s">
        <v>841</v>
      </c>
    </row>
    <row r="3" spans="1:11" ht="13.5">
      <c r="A3" s="160"/>
      <c r="B3" s="161" t="s">
        <v>836</v>
      </c>
      <c r="C3" s="226"/>
      <c r="D3" s="226"/>
      <c r="E3" s="227"/>
      <c r="G3" s="160"/>
      <c r="H3" s="161" t="s">
        <v>836</v>
      </c>
      <c r="I3" s="226"/>
      <c r="J3" s="226"/>
      <c r="K3" s="227"/>
    </row>
    <row r="4" spans="1:11" ht="13.5">
      <c r="A4" s="224" t="s">
        <v>502</v>
      </c>
      <c r="B4" s="228" t="s">
        <v>840</v>
      </c>
      <c r="C4" s="229" t="s">
        <v>839</v>
      </c>
      <c r="D4" s="229" t="s">
        <v>838</v>
      </c>
      <c r="E4" s="230" t="s">
        <v>837</v>
      </c>
      <c r="G4" s="224" t="s">
        <v>798</v>
      </c>
      <c r="H4" s="228" t="s">
        <v>840</v>
      </c>
      <c r="I4" s="229" t="s">
        <v>839</v>
      </c>
      <c r="J4" s="229" t="s">
        <v>838</v>
      </c>
      <c r="K4" s="230" t="s">
        <v>837</v>
      </c>
    </row>
    <row r="5" spans="1:11" ht="13.5">
      <c r="A5" s="160" t="s">
        <v>32</v>
      </c>
      <c r="B5" s="231">
        <v>12499.999999999998</v>
      </c>
      <c r="C5" s="232">
        <v>36999.99999999999</v>
      </c>
      <c r="D5" s="232">
        <v>8349.999999999998</v>
      </c>
      <c r="E5" s="233">
        <v>5000</v>
      </c>
      <c r="G5" s="160" t="s">
        <v>46</v>
      </c>
      <c r="H5" s="231">
        <v>26969.21</v>
      </c>
      <c r="I5" s="232">
        <v>19891.21</v>
      </c>
      <c r="J5" s="232">
        <v>19891.21</v>
      </c>
      <c r="K5" s="233">
        <v>19891.21</v>
      </c>
    </row>
    <row r="6" spans="1:11" ht="13.5">
      <c r="A6" s="162" t="s">
        <v>29</v>
      </c>
      <c r="B6" s="234">
        <v>0</v>
      </c>
      <c r="E6" s="235"/>
      <c r="G6" s="162" t="s">
        <v>59</v>
      </c>
      <c r="H6" s="234">
        <v>350695.3045</v>
      </c>
      <c r="I6" s="32">
        <v>166533.30450000003</v>
      </c>
      <c r="J6" s="32">
        <v>136373.30450000003</v>
      </c>
      <c r="K6" s="235">
        <v>134708.30450000003</v>
      </c>
    </row>
    <row r="7" spans="1:11" ht="13.5">
      <c r="A7" s="162" t="s">
        <v>26</v>
      </c>
      <c r="B7" s="234">
        <v>201745.34750000003</v>
      </c>
      <c r="C7" s="32">
        <v>177173.34750000003</v>
      </c>
      <c r="D7" s="32">
        <v>177173.34750000003</v>
      </c>
      <c r="E7" s="235">
        <v>178148.34750000003</v>
      </c>
      <c r="G7" s="162" t="s">
        <v>58</v>
      </c>
      <c r="H7" s="234">
        <v>69537.49999999999</v>
      </c>
      <c r="I7" s="32">
        <v>73396.32333333332</v>
      </c>
      <c r="J7" s="32">
        <v>73396.32333333332</v>
      </c>
      <c r="K7" s="235">
        <v>73396.32333333332</v>
      </c>
    </row>
    <row r="8" spans="1:11" ht="13.5">
      <c r="A8" s="162" t="s">
        <v>31</v>
      </c>
      <c r="B8" s="234">
        <v>375800</v>
      </c>
      <c r="C8" s="32">
        <v>15650</v>
      </c>
      <c r="D8" s="32">
        <v>1650</v>
      </c>
      <c r="E8" s="235">
        <v>1650</v>
      </c>
      <c r="G8" s="162" t="s">
        <v>48</v>
      </c>
      <c r="H8" s="234">
        <v>83994.41</v>
      </c>
      <c r="I8" s="32">
        <v>109994.41</v>
      </c>
      <c r="J8" s="32">
        <v>40994.41</v>
      </c>
      <c r="K8" s="235">
        <v>28994.41</v>
      </c>
    </row>
    <row r="9" spans="1:11" ht="13.5">
      <c r="A9" s="162" t="s">
        <v>57</v>
      </c>
      <c r="B9" s="234"/>
      <c r="C9" s="32">
        <v>73250</v>
      </c>
      <c r="D9" s="32">
        <v>10000</v>
      </c>
      <c r="E9" s="235"/>
      <c r="G9" s="221" t="s">
        <v>832</v>
      </c>
      <c r="H9" s="247">
        <v>808419.9824999999</v>
      </c>
      <c r="I9" s="248">
        <v>528542.8058333334</v>
      </c>
      <c r="J9" s="248">
        <v>374482.80583333346</v>
      </c>
      <c r="K9" s="249">
        <v>291467.8058333333</v>
      </c>
    </row>
    <row r="10" spans="1:11" ht="13.5">
      <c r="A10" s="162" t="s">
        <v>30</v>
      </c>
      <c r="B10" s="234">
        <v>63333</v>
      </c>
      <c r="E10" s="235"/>
      <c r="G10" s="162" t="s">
        <v>852</v>
      </c>
      <c r="H10" s="234">
        <v>27101.3825</v>
      </c>
      <c r="I10" s="32">
        <v>30689.3825</v>
      </c>
      <c r="J10" s="32">
        <v>23689.3825</v>
      </c>
      <c r="K10" s="235">
        <v>22689.3825</v>
      </c>
    </row>
    <row r="11" spans="1:11" ht="13.5">
      <c r="A11" s="162" t="s">
        <v>8</v>
      </c>
      <c r="B11" s="234">
        <v>13831.71</v>
      </c>
      <c r="C11" s="32">
        <v>10612.533333333333</v>
      </c>
      <c r="D11" s="32">
        <v>10612.533333333333</v>
      </c>
      <c r="E11" s="235">
        <v>10612.533333333333</v>
      </c>
      <c r="G11" s="162" t="s">
        <v>853</v>
      </c>
      <c r="H11" s="234">
        <v>42050</v>
      </c>
      <c r="I11" s="32">
        <v>95300</v>
      </c>
      <c r="J11" s="32">
        <v>42050</v>
      </c>
      <c r="K11" s="235">
        <v>42050</v>
      </c>
    </row>
    <row r="12" spans="1:11" ht="13.5">
      <c r="A12" s="162" t="s">
        <v>35</v>
      </c>
      <c r="B12" s="234">
        <v>54076.56950000002</v>
      </c>
      <c r="C12" s="32">
        <v>54076.56950000002</v>
      </c>
      <c r="D12" s="32">
        <v>54076.56950000002</v>
      </c>
      <c r="E12" s="235">
        <v>54076.56950000002</v>
      </c>
      <c r="G12" s="162" t="s">
        <v>855</v>
      </c>
      <c r="H12" s="234">
        <v>12602.244999999999</v>
      </c>
      <c r="I12" s="32">
        <v>59602.244999999995</v>
      </c>
      <c r="J12" s="32">
        <v>20952.245</v>
      </c>
      <c r="K12" s="235">
        <v>7602.245</v>
      </c>
    </row>
    <row r="13" spans="1:11" ht="13.5">
      <c r="A13" s="162" t="s">
        <v>34</v>
      </c>
      <c r="B13" s="234">
        <v>70752.445</v>
      </c>
      <c r="C13" s="32">
        <v>69294.515</v>
      </c>
      <c r="D13" s="32">
        <v>50494.515</v>
      </c>
      <c r="E13" s="235">
        <v>50494.515</v>
      </c>
      <c r="G13" s="162" t="s">
        <v>854</v>
      </c>
      <c r="H13" s="234">
        <v>217034</v>
      </c>
      <c r="I13" s="32">
        <v>24700</v>
      </c>
      <c r="J13" s="32">
        <v>68700</v>
      </c>
      <c r="K13" s="235">
        <v>13700</v>
      </c>
    </row>
    <row r="14" spans="1:11" ht="13.5">
      <c r="A14" s="162" t="s">
        <v>33</v>
      </c>
      <c r="B14" s="234">
        <v>17009.48</v>
      </c>
      <c r="C14" s="32">
        <v>18200</v>
      </c>
      <c r="D14" s="32">
        <v>62200</v>
      </c>
      <c r="E14" s="235">
        <v>7200</v>
      </c>
      <c r="G14" s="162" t="s">
        <v>44</v>
      </c>
      <c r="H14" s="234">
        <v>2512.5</v>
      </c>
      <c r="I14" s="32">
        <v>2512.5</v>
      </c>
      <c r="J14" s="32">
        <v>2512.5</v>
      </c>
      <c r="K14" s="235">
        <v>2512.5</v>
      </c>
    </row>
    <row r="15" spans="1:11" ht="13.5">
      <c r="A15" s="162" t="s">
        <v>27</v>
      </c>
      <c r="B15" s="234">
        <v>22253</v>
      </c>
      <c r="C15" s="32">
        <v>13893</v>
      </c>
      <c r="D15" s="32">
        <v>16533</v>
      </c>
      <c r="E15" s="235">
        <v>13893</v>
      </c>
      <c r="G15" s="162" t="s">
        <v>856</v>
      </c>
      <c r="H15" s="234">
        <v>86286.40999999999</v>
      </c>
      <c r="I15" s="32"/>
      <c r="J15" s="32"/>
      <c r="K15" s="235"/>
    </row>
    <row r="16" spans="1:12" ht="13.5">
      <c r="A16" s="162" t="s">
        <v>28</v>
      </c>
      <c r="B16" s="234">
        <v>87481.41</v>
      </c>
      <c r="C16" s="32">
        <v>113469.41</v>
      </c>
      <c r="D16" s="32">
        <v>37469.41</v>
      </c>
      <c r="E16" s="235">
        <v>24469.41</v>
      </c>
      <c r="G16" s="250" t="s">
        <v>80</v>
      </c>
      <c r="H16" s="251">
        <v>1727202.9445000002</v>
      </c>
      <c r="I16" s="252">
        <v>1111162.1811666666</v>
      </c>
      <c r="J16" s="252">
        <v>803042.1811666668</v>
      </c>
      <c r="K16" s="253">
        <v>637012.1811666666</v>
      </c>
      <c r="L16" s="254"/>
    </row>
    <row r="17" spans="1:5" ht="13.5">
      <c r="A17" s="221" t="s">
        <v>832</v>
      </c>
      <c r="B17" s="247">
        <v>808419.9824999999</v>
      </c>
      <c r="C17" s="248">
        <v>528542.8058333334</v>
      </c>
      <c r="D17" s="248">
        <v>374482.80583333346</v>
      </c>
      <c r="E17" s="249">
        <v>291467.8058333333</v>
      </c>
    </row>
    <row r="18" spans="1:5" ht="13.5">
      <c r="A18" s="250" t="s">
        <v>80</v>
      </c>
      <c r="B18" s="251">
        <v>1727202.9444999998</v>
      </c>
      <c r="C18" s="252">
        <v>1111162.1811666668</v>
      </c>
      <c r="D18" s="252">
        <v>803042.1811666668</v>
      </c>
      <c r="E18" s="253">
        <v>637012.1811666666</v>
      </c>
    </row>
    <row r="19" spans="1:12" ht="13.5">
      <c r="A19" s="225" t="s">
        <v>799</v>
      </c>
      <c r="B19" s="223">
        <f>SUM(B5:B16)</f>
        <v>918782.9619999999</v>
      </c>
      <c r="C19" s="223">
        <f>SUM(C5:C16)</f>
        <v>582619.3753333334</v>
      </c>
      <c r="D19" s="223">
        <f>SUM(D5:D16)</f>
        <v>428559.3753333334</v>
      </c>
      <c r="E19" s="223">
        <f>SUM(E5:E16)</f>
        <v>345544.37533333333</v>
      </c>
      <c r="F19" s="236">
        <f>SUM(B19:E19)</f>
        <v>2275506.088</v>
      </c>
      <c r="G19" s="225" t="s">
        <v>799</v>
      </c>
      <c r="H19" s="223">
        <f>SUM(H5:H8)+SUM(H10:H15)</f>
        <v>918782.962</v>
      </c>
      <c r="I19" s="223">
        <f>SUM(I5:I8)+SUM(I10:I14)</f>
        <v>582619.3753333334</v>
      </c>
      <c r="J19" s="223">
        <f>SUM(J5:J8)+SUM(J10:J14)</f>
        <v>428559.37533333333</v>
      </c>
      <c r="K19" s="223">
        <f>SUM(K5:K8)+SUM(K10:K14)</f>
        <v>345544.3753333334</v>
      </c>
      <c r="L19" s="236">
        <f>SUM(H19:K19)</f>
        <v>2275506.0880000005</v>
      </c>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11.421875" defaultRowHeight="15"/>
  <cols>
    <col min="1" max="1" width="47.421875" style="0" bestFit="1" customWidth="1"/>
    <col min="2" max="2" width="11.7109375" style="32" customWidth="1"/>
    <col min="3" max="4" width="9.140625" style="0" customWidth="1"/>
    <col min="5" max="5" width="39.00390625" style="0" customWidth="1"/>
    <col min="6" max="6" width="11.7109375" style="0" bestFit="1" customWidth="1"/>
  </cols>
  <sheetData>
    <row r="1" ht="18">
      <c r="A1" s="209" t="s">
        <v>842</v>
      </c>
    </row>
    <row r="3" spans="1:6" ht="13.5">
      <c r="A3" s="161" t="s">
        <v>833</v>
      </c>
      <c r="B3" s="165"/>
      <c r="E3" s="161" t="s">
        <v>833</v>
      </c>
      <c r="F3" s="165"/>
    </row>
    <row r="4" spans="1:6" ht="13.5">
      <c r="A4" s="224" t="s">
        <v>502</v>
      </c>
      <c r="B4" s="163" t="s">
        <v>799</v>
      </c>
      <c r="E4" s="224" t="s">
        <v>798</v>
      </c>
      <c r="F4" s="163" t="s">
        <v>799</v>
      </c>
    </row>
    <row r="5" spans="1:6" ht="13.5">
      <c r="A5" s="160" t="s">
        <v>32</v>
      </c>
      <c r="B5" s="165">
        <v>60351</v>
      </c>
      <c r="E5" s="160" t="s">
        <v>46</v>
      </c>
      <c r="F5" s="165">
        <v>84600</v>
      </c>
    </row>
    <row r="6" spans="1:6" ht="13.5">
      <c r="A6" s="162" t="s">
        <v>29</v>
      </c>
      <c r="B6" s="166">
        <v>0</v>
      </c>
      <c r="E6" s="162" t="s">
        <v>59</v>
      </c>
      <c r="F6" s="166">
        <v>530483.68</v>
      </c>
    </row>
    <row r="7" spans="1:6" ht="13.5">
      <c r="A7" s="162" t="s">
        <v>26</v>
      </c>
      <c r="B7" s="166">
        <v>795134.8</v>
      </c>
      <c r="E7" s="162" t="s">
        <v>58</v>
      </c>
      <c r="F7" s="166">
        <v>318450</v>
      </c>
    </row>
    <row r="8" spans="1:6" ht="13.5">
      <c r="A8" s="162" t="s">
        <v>31</v>
      </c>
      <c r="B8" s="166">
        <v>8000</v>
      </c>
      <c r="E8" s="162" t="s">
        <v>48</v>
      </c>
      <c r="F8" s="166">
        <v>266400</v>
      </c>
    </row>
    <row r="9" spans="1:6" ht="13.5">
      <c r="A9" s="162" t="s">
        <v>57</v>
      </c>
      <c r="B9" s="166">
        <v>136350</v>
      </c>
      <c r="E9" s="221" t="s">
        <v>832</v>
      </c>
      <c r="F9" s="222">
        <v>1712188.8000000003</v>
      </c>
    </row>
    <row r="10" spans="1:6" ht="13.5">
      <c r="A10" s="162" t="s">
        <v>30</v>
      </c>
      <c r="B10" s="166">
        <v>33333</v>
      </c>
      <c r="E10" s="162" t="s">
        <v>852</v>
      </c>
      <c r="F10" s="166">
        <v>106800</v>
      </c>
    </row>
    <row r="11" spans="1:6" ht="13.5">
      <c r="A11" s="162" t="s">
        <v>8</v>
      </c>
      <c r="B11" s="166">
        <v>32100</v>
      </c>
      <c r="E11" s="162" t="s">
        <v>853</v>
      </c>
      <c r="F11" s="166">
        <v>310350</v>
      </c>
    </row>
    <row r="12" spans="1:6" ht="13.5">
      <c r="A12" s="162" t="s">
        <v>35</v>
      </c>
      <c r="B12" s="166">
        <v>171218.88000000003</v>
      </c>
      <c r="E12" s="162" t="s">
        <v>855</v>
      </c>
      <c r="F12" s="166">
        <v>98991</v>
      </c>
    </row>
    <row r="13" spans="1:6" ht="13.5">
      <c r="A13" s="162" t="s">
        <v>34</v>
      </c>
      <c r="B13" s="166">
        <v>245740</v>
      </c>
      <c r="E13" s="162" t="s">
        <v>854</v>
      </c>
      <c r="F13" s="166">
        <v>158332.99999999997</v>
      </c>
    </row>
    <row r="14" spans="1:6" ht="13.5">
      <c r="A14" s="162" t="s">
        <v>33</v>
      </c>
      <c r="B14" s="166">
        <v>95000.00000000001</v>
      </c>
      <c r="E14" s="162" t="s">
        <v>44</v>
      </c>
      <c r="F14" s="166">
        <v>9000</v>
      </c>
    </row>
    <row r="15" spans="1:6" ht="13.5">
      <c r="A15" s="162" t="s">
        <v>27</v>
      </c>
      <c r="B15" s="166">
        <v>49380</v>
      </c>
      <c r="E15" s="162" t="s">
        <v>856</v>
      </c>
      <c r="F15" s="166">
        <v>0</v>
      </c>
    </row>
    <row r="16" spans="1:6" ht="13.5">
      <c r="A16" s="162" t="s">
        <v>28</v>
      </c>
      <c r="B16" s="166">
        <v>256800</v>
      </c>
      <c r="E16" s="219" t="s">
        <v>80</v>
      </c>
      <c r="F16" s="220">
        <v>3595596.4800000004</v>
      </c>
    </row>
    <row r="17" spans="1:2" ht="13.5" hidden="1">
      <c r="A17" s="221" t="s">
        <v>832</v>
      </c>
      <c r="B17" s="222">
        <v>1712188.8000000003</v>
      </c>
    </row>
    <row r="18" spans="1:2" ht="13.5" hidden="1">
      <c r="A18" s="219" t="s">
        <v>80</v>
      </c>
      <c r="B18" s="220">
        <v>3595596.4800000004</v>
      </c>
    </row>
    <row r="19" spans="1:6" ht="13.5">
      <c r="A19" s="225" t="s">
        <v>799</v>
      </c>
      <c r="B19" s="223">
        <f>SUM(B5:B16)</f>
        <v>1883407.6800000002</v>
      </c>
      <c r="E19" s="225" t="s">
        <v>799</v>
      </c>
      <c r="F19" s="223">
        <f>SUM(F5:F8)+SUM(F10:F15)</f>
        <v>1883407.6800000002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11.421875" defaultRowHeight="15"/>
  <cols>
    <col min="1" max="1" width="47.421875" style="0" customWidth="1"/>
    <col min="2" max="2" width="11.7109375" style="32" customWidth="1"/>
    <col min="3" max="3" width="9.140625" style="0" customWidth="1"/>
    <col min="4" max="4" width="39.00390625" style="0" customWidth="1"/>
    <col min="5" max="5" width="11.7109375" style="0" customWidth="1"/>
  </cols>
  <sheetData>
    <row r="1" ht="18">
      <c r="A1" s="209" t="s">
        <v>843</v>
      </c>
    </row>
    <row r="3" spans="1:5" ht="13.5">
      <c r="A3" s="161" t="s">
        <v>834</v>
      </c>
      <c r="B3" s="165"/>
      <c r="D3" s="161" t="s">
        <v>834</v>
      </c>
      <c r="E3" s="165"/>
    </row>
    <row r="4" spans="1:5" ht="13.5">
      <c r="A4" s="224" t="s">
        <v>502</v>
      </c>
      <c r="B4" s="163" t="s">
        <v>799</v>
      </c>
      <c r="D4" s="224" t="s">
        <v>798</v>
      </c>
      <c r="E4" s="163" t="s">
        <v>799</v>
      </c>
    </row>
    <row r="5" spans="1:5" ht="13.5">
      <c r="A5" s="160" t="s">
        <v>32</v>
      </c>
      <c r="B5" s="165">
        <v>65351</v>
      </c>
      <c r="D5" s="160" t="s">
        <v>46</v>
      </c>
      <c r="E5" s="165">
        <v>84600</v>
      </c>
    </row>
    <row r="6" spans="1:5" ht="13.5">
      <c r="A6" s="162" t="s">
        <v>29</v>
      </c>
      <c r="B6" s="166">
        <v>50000</v>
      </c>
      <c r="D6" s="162" t="s">
        <v>59</v>
      </c>
      <c r="E6" s="166">
        <v>569125.68</v>
      </c>
    </row>
    <row r="7" spans="1:5" ht="13.5">
      <c r="A7" s="162" t="s">
        <v>26</v>
      </c>
      <c r="B7" s="166">
        <v>835734.8</v>
      </c>
      <c r="D7" s="162" t="s">
        <v>58</v>
      </c>
      <c r="E7" s="166">
        <v>318450</v>
      </c>
    </row>
    <row r="8" spans="1:5" ht="13.5">
      <c r="A8" s="162" t="s">
        <v>31</v>
      </c>
      <c r="B8" s="166">
        <v>12000</v>
      </c>
      <c r="D8" s="162" t="s">
        <v>48</v>
      </c>
      <c r="E8" s="166">
        <v>266400</v>
      </c>
    </row>
    <row r="9" spans="1:5" ht="13.5">
      <c r="A9" s="162" t="s">
        <v>57</v>
      </c>
      <c r="B9" s="166">
        <v>136350</v>
      </c>
      <c r="D9" s="221" t="s">
        <v>832</v>
      </c>
      <c r="E9" s="222">
        <v>1918608.8000000003</v>
      </c>
    </row>
    <row r="10" spans="1:5" ht="13.5">
      <c r="A10" s="162" t="s">
        <v>30</v>
      </c>
      <c r="B10" s="166">
        <v>33333</v>
      </c>
      <c r="D10" s="162" t="s">
        <v>852</v>
      </c>
      <c r="E10" s="166">
        <v>106800</v>
      </c>
    </row>
    <row r="11" spans="1:5" ht="13.5">
      <c r="A11" s="162" t="s">
        <v>8</v>
      </c>
      <c r="B11" s="166">
        <v>32100</v>
      </c>
      <c r="D11" s="162" t="s">
        <v>853</v>
      </c>
      <c r="E11" s="166">
        <v>310350</v>
      </c>
    </row>
    <row r="12" spans="1:5" ht="13.5">
      <c r="A12" s="162" t="s">
        <v>35</v>
      </c>
      <c r="B12" s="166">
        <v>191860.88000000003</v>
      </c>
      <c r="D12" s="162" t="s">
        <v>855</v>
      </c>
      <c r="E12" s="166">
        <v>98991</v>
      </c>
    </row>
    <row r="13" spans="1:5" ht="13.5">
      <c r="A13" s="162" t="s">
        <v>34</v>
      </c>
      <c r="B13" s="166">
        <v>294940</v>
      </c>
      <c r="D13" s="162" t="s">
        <v>854</v>
      </c>
      <c r="E13" s="166">
        <v>158332.99999999997</v>
      </c>
    </row>
    <row r="14" spans="1:5" ht="13.5">
      <c r="A14" s="162" t="s">
        <v>33</v>
      </c>
      <c r="B14" s="166">
        <v>105000.00000000001</v>
      </c>
      <c r="D14" s="162" t="s">
        <v>44</v>
      </c>
      <c r="E14" s="166">
        <v>9000</v>
      </c>
    </row>
    <row r="15" spans="1:5" ht="13.5">
      <c r="A15" s="162" t="s">
        <v>27</v>
      </c>
      <c r="B15" s="166">
        <v>63500</v>
      </c>
      <c r="D15" s="162" t="s">
        <v>856</v>
      </c>
      <c r="E15" s="166">
        <v>188420</v>
      </c>
    </row>
    <row r="16" spans="1:5" ht="13.5">
      <c r="A16" s="162" t="s">
        <v>28</v>
      </c>
      <c r="B16" s="166">
        <v>290300</v>
      </c>
      <c r="D16" s="219" t="s">
        <v>80</v>
      </c>
      <c r="E16" s="220">
        <v>4029078.4800000004</v>
      </c>
    </row>
    <row r="17" spans="1:2" ht="13.5" hidden="1">
      <c r="A17" s="162" t="s">
        <v>832</v>
      </c>
      <c r="B17" s="166">
        <v>1918608.8000000003</v>
      </c>
    </row>
    <row r="18" spans="1:2" ht="13.5" hidden="1">
      <c r="A18" s="217" t="s">
        <v>80</v>
      </c>
      <c r="B18" s="218">
        <v>4029078.4800000004</v>
      </c>
    </row>
    <row r="19" spans="1:5" ht="13.5">
      <c r="A19" s="225" t="s">
        <v>799</v>
      </c>
      <c r="B19" s="223">
        <f>SUM(B5:B16)</f>
        <v>2110469.68</v>
      </c>
      <c r="D19" s="225" t="s">
        <v>799</v>
      </c>
      <c r="E19" s="223">
        <f>SUM(E5:E8)+SUM(E10:E15)</f>
        <v>2110469.68</v>
      </c>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E14"/>
  <sheetViews>
    <sheetView workbookViewId="0" topLeftCell="A1">
      <selection activeCell="A1" sqref="A1"/>
    </sheetView>
  </sheetViews>
  <sheetFormatPr defaultColWidth="11.421875" defaultRowHeight="15"/>
  <cols>
    <col min="1" max="1" width="41.00390625" style="0" customWidth="1"/>
    <col min="2" max="2" width="10.140625" style="32" customWidth="1"/>
    <col min="3" max="3" width="11.00390625" style="0" bestFit="1" customWidth="1"/>
    <col min="4" max="4" width="39.00390625" style="0" customWidth="1"/>
    <col min="5" max="5" width="10.140625" style="32" customWidth="1"/>
  </cols>
  <sheetData>
    <row r="1" ht="18">
      <c r="A1" s="209" t="s">
        <v>830</v>
      </c>
    </row>
    <row r="3" spans="1:5" ht="13.5">
      <c r="A3" s="161" t="s">
        <v>828</v>
      </c>
      <c r="B3" s="165"/>
      <c r="D3" s="161" t="s">
        <v>828</v>
      </c>
      <c r="E3" s="165"/>
    </row>
    <row r="4" spans="1:5" ht="13.5">
      <c r="A4" s="206" t="s">
        <v>829</v>
      </c>
      <c r="B4" s="163" t="s">
        <v>799</v>
      </c>
      <c r="D4" s="206" t="s">
        <v>800</v>
      </c>
      <c r="E4" s="163" t="s">
        <v>799</v>
      </c>
    </row>
    <row r="5" spans="1:5" ht="13.5">
      <c r="A5" s="160" t="s">
        <v>32</v>
      </c>
      <c r="B5" s="165">
        <v>12400</v>
      </c>
      <c r="D5" s="160" t="s">
        <v>59</v>
      </c>
      <c r="E5" s="165">
        <v>152256.472</v>
      </c>
    </row>
    <row r="6" spans="1:5" ht="13.5">
      <c r="A6" s="162" t="s">
        <v>26</v>
      </c>
      <c r="B6" s="166">
        <v>166348</v>
      </c>
      <c r="D6" s="162" t="s">
        <v>58</v>
      </c>
      <c r="E6" s="166">
        <v>104298</v>
      </c>
    </row>
    <row r="7" spans="1:5" ht="13.5">
      <c r="A7" s="162" t="s">
        <v>31</v>
      </c>
      <c r="B7" s="166">
        <v>2000</v>
      </c>
      <c r="D7" s="162" t="s">
        <v>48</v>
      </c>
      <c r="E7" s="166">
        <v>118200</v>
      </c>
    </row>
    <row r="8" spans="1:5" ht="13.5">
      <c r="A8" s="162" t="s">
        <v>8</v>
      </c>
      <c r="B8" s="166">
        <v>49061.6</v>
      </c>
      <c r="D8" s="162" t="s">
        <v>852</v>
      </c>
      <c r="E8" s="166">
        <v>24400</v>
      </c>
    </row>
    <row r="9" spans="1:5" ht="13.5">
      <c r="A9" s="162" t="s">
        <v>35</v>
      </c>
      <c r="B9" s="166">
        <v>31566.472</v>
      </c>
      <c r="D9" s="162" t="s">
        <v>854</v>
      </c>
      <c r="E9" s="166">
        <v>68000</v>
      </c>
    </row>
    <row r="10" spans="1:5" ht="13.5">
      <c r="A10" s="162" t="s">
        <v>34</v>
      </c>
      <c r="B10" s="166">
        <v>37900</v>
      </c>
      <c r="D10" s="162" t="s">
        <v>855</v>
      </c>
      <c r="E10" s="166">
        <v>12400</v>
      </c>
    </row>
    <row r="11" spans="1:5" ht="13.5">
      <c r="A11" s="162" t="s">
        <v>33</v>
      </c>
      <c r="B11" s="166">
        <v>68000</v>
      </c>
      <c r="D11" s="162" t="s">
        <v>44</v>
      </c>
      <c r="E11" s="166">
        <v>2961.6000000000004</v>
      </c>
    </row>
    <row r="12" spans="1:5" ht="13.5">
      <c r="A12" s="162" t="s">
        <v>27</v>
      </c>
      <c r="B12" s="166">
        <v>33040</v>
      </c>
      <c r="D12" s="207" t="s">
        <v>80</v>
      </c>
      <c r="E12" s="208">
        <v>482516.072</v>
      </c>
    </row>
    <row r="13" spans="1:2" ht="13.5">
      <c r="A13" s="162" t="s">
        <v>28</v>
      </c>
      <c r="B13" s="166">
        <v>82200</v>
      </c>
    </row>
    <row r="14" spans="1:2" ht="13.5">
      <c r="A14" s="207" t="s">
        <v>80</v>
      </c>
      <c r="B14" s="208">
        <v>482516.07200000004</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2014-01-22T13:55:56Z</cp:lastPrinted>
  <dcterms:created xsi:type="dcterms:W3CDTF">2012-03-27T10:41:28Z</dcterms:created>
  <dcterms:modified xsi:type="dcterms:W3CDTF">2015-08-14T21:55:06Z</dcterms:modified>
  <cp:category/>
  <cp:version/>
  <cp:contentType/>
  <cp:contentStatus/>
</cp:coreProperties>
</file>