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nicolezok/Downloads/"/>
    </mc:Choice>
  </mc:AlternateContent>
  <bookViews>
    <workbookView xWindow="0" yWindow="460" windowWidth="28800" windowHeight="15840"/>
  </bookViews>
  <sheets>
    <sheet name="summary" sheetId="7" r:id="rId1"/>
    <sheet name="Burkina Faso" sheetId="3" r:id="rId2"/>
    <sheet name="Cote d'Ivoire" sheetId="2" r:id="rId3"/>
    <sheet name="Guinea" sheetId="1" r:id="rId4"/>
    <sheet name="Niger" sheetId="5" r:id="rId5"/>
    <sheet name="Mali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K10" i="7"/>
  <c r="K11" i="7"/>
  <c r="K12" i="7"/>
  <c r="K3" i="7"/>
  <c r="L13" i="7"/>
  <c r="J13" i="7"/>
  <c r="I13" i="7"/>
  <c r="H13" i="7"/>
  <c r="M12" i="7"/>
  <c r="M6" i="7"/>
  <c r="M4" i="7"/>
  <c r="M13" i="7"/>
  <c r="F13" i="7"/>
  <c r="G8" i="7"/>
  <c r="G6" i="7"/>
  <c r="G4" i="7"/>
  <c r="G13" i="7"/>
  <c r="F5" i="2"/>
  <c r="K13" i="7"/>
  <c r="E4" i="7"/>
  <c r="E5" i="7"/>
  <c r="E6" i="7"/>
  <c r="E3" i="7"/>
  <c r="D10" i="7"/>
  <c r="E10" i="7"/>
  <c r="D8" i="7"/>
  <c r="E8" i="7"/>
  <c r="E13" i="7"/>
  <c r="D13" i="7"/>
  <c r="L50" i="6"/>
  <c r="L51" i="6"/>
  <c r="I50" i="6"/>
  <c r="I51" i="6"/>
  <c r="D6" i="6"/>
  <c r="C50" i="6"/>
  <c r="C51" i="6"/>
  <c r="E53" i="6"/>
  <c r="D35" i="3"/>
  <c r="F35" i="3"/>
  <c r="H35" i="3"/>
  <c r="K35" i="3"/>
  <c r="O35" i="3"/>
  <c r="D36" i="3"/>
  <c r="G41" i="2"/>
  <c r="G44" i="2"/>
  <c r="G52" i="2"/>
  <c r="G56" i="2"/>
  <c r="G71" i="2"/>
  <c r="G80" i="2"/>
  <c r="G85" i="2"/>
  <c r="G86" i="2"/>
  <c r="G88" i="2"/>
  <c r="I41" i="2"/>
  <c r="I44" i="2"/>
  <c r="I52" i="2"/>
  <c r="I56" i="2"/>
  <c r="I71" i="2"/>
  <c r="I80" i="2"/>
  <c r="I85" i="2"/>
  <c r="I86" i="2"/>
  <c r="I88" i="2"/>
  <c r="J41" i="2"/>
  <c r="J44" i="2"/>
  <c r="J52" i="2"/>
  <c r="J56" i="2"/>
  <c r="J71" i="2"/>
  <c r="J80" i="2"/>
  <c r="J85" i="2"/>
  <c r="J86" i="2"/>
  <c r="J88" i="2"/>
  <c r="F23" i="2"/>
  <c r="F24" i="2"/>
  <c r="F25" i="2"/>
  <c r="F26" i="2"/>
  <c r="F18" i="2"/>
  <c r="F19" i="2"/>
  <c r="F20" i="2"/>
  <c r="F21" i="2"/>
  <c r="F13" i="2"/>
  <c r="F14" i="2"/>
  <c r="F15" i="2"/>
  <c r="F16" i="2"/>
  <c r="F6" i="2"/>
  <c r="F7" i="2"/>
  <c r="F8" i="2"/>
  <c r="F9" i="2"/>
  <c r="F10" i="2"/>
  <c r="F11" i="2"/>
  <c r="F41" i="2"/>
  <c r="F43" i="2"/>
  <c r="F44" i="2"/>
  <c r="F46" i="2"/>
  <c r="F47" i="2"/>
  <c r="F49" i="2"/>
  <c r="F50" i="2"/>
  <c r="F51" i="2"/>
  <c r="F52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3" i="2"/>
  <c r="F74" i="2"/>
  <c r="F75" i="2"/>
  <c r="F76" i="2"/>
  <c r="F77" i="2"/>
  <c r="F78" i="2"/>
  <c r="F79" i="2"/>
  <c r="F80" i="2"/>
  <c r="F82" i="2"/>
  <c r="F83" i="2"/>
  <c r="F84" i="2"/>
  <c r="F85" i="2"/>
  <c r="H41" i="2"/>
  <c r="H44" i="2"/>
  <c r="H52" i="2"/>
  <c r="H56" i="2"/>
  <c r="H71" i="2"/>
  <c r="H80" i="2"/>
  <c r="H85" i="2"/>
  <c r="H86" i="2"/>
  <c r="H88" i="2"/>
  <c r="F22" i="2"/>
  <c r="F17" i="2"/>
  <c r="L34" i="1"/>
  <c r="I34" i="1"/>
  <c r="F34" i="1"/>
  <c r="C34" i="1"/>
  <c r="N35" i="1"/>
  <c r="K55" i="3"/>
  <c r="F27" i="2"/>
  <c r="J91" i="2"/>
  <c r="F86" i="2"/>
  <c r="F55" i="3"/>
  <c r="D55" i="3"/>
  <c r="O55" i="3"/>
  <c r="H55" i="3"/>
  <c r="F88" i="2"/>
  <c r="F89" i="2"/>
  <c r="I89" i="2"/>
  <c r="J89" i="2"/>
  <c r="G89" i="2"/>
  <c r="H89" i="2"/>
</calcChain>
</file>

<file path=xl/comments1.xml><?xml version="1.0" encoding="utf-8"?>
<comments xmlns="http://schemas.openxmlformats.org/spreadsheetml/2006/main">
  <authors>
    <author>Régina KHASSANOVA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Régina KHASSANOVA:</t>
        </r>
        <r>
          <rPr>
            <sz val="9"/>
            <color indexed="81"/>
            <rFont val="Tahoma"/>
            <family val="2"/>
          </rPr>
          <t xml:space="preserve">
payement contribut à la mise en œuvre de toutes les activités comunautaires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Régina KHASSANOVA:</t>
        </r>
        <r>
          <rPr>
            <sz val="9"/>
            <color indexed="81"/>
            <rFont val="Tahoma"/>
            <family val="2"/>
          </rPr>
          <t xml:space="preserve">
en rouge, le prix n'est pas éstimé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Régina KHASSANOVA:</t>
        </r>
        <r>
          <rPr>
            <sz val="9"/>
            <color indexed="81"/>
            <rFont val="Tahoma"/>
            <family val="2"/>
          </rPr>
          <t xml:space="preserve">
payement contribut à la mise en œuvre de toutes les activités comunautaires
</t>
        </r>
      </text>
    </comment>
  </commentList>
</comments>
</file>

<file path=xl/sharedStrings.xml><?xml version="1.0" encoding="utf-8"?>
<sst xmlns="http://schemas.openxmlformats.org/spreadsheetml/2006/main" count="475" uniqueCount="303">
  <si>
    <t xml:space="preserve">Budget allocated </t>
  </si>
  <si>
    <t xml:space="preserve">HKI </t>
  </si>
  <si>
    <t xml:space="preserve">MoH </t>
  </si>
  <si>
    <t>UNICEF</t>
  </si>
  <si>
    <t>OMS</t>
  </si>
  <si>
    <t>Round 1 - 2019</t>
  </si>
  <si>
    <t>what do they fund?</t>
  </si>
  <si>
    <t>amount</t>
  </si>
  <si>
    <t>National</t>
  </si>
  <si>
    <t>Supervision nationale</t>
  </si>
  <si>
    <t>Communication nationale</t>
  </si>
  <si>
    <t>Region 1: Conakry</t>
  </si>
  <si>
    <t>Couts opérationnels 3ème vaccinateur</t>
  </si>
  <si>
    <t>Communication</t>
  </si>
  <si>
    <t>Activités opérationnelles (formation et perdiem vaccinateurs et superviseurs)</t>
  </si>
  <si>
    <t>Supervision régionale</t>
  </si>
  <si>
    <t>Region 2: Boké</t>
  </si>
  <si>
    <t>Region 3: Faranah</t>
  </si>
  <si>
    <t>Region 4: Kankan</t>
  </si>
  <si>
    <t>Region 5: Kindia</t>
  </si>
  <si>
    <t>Region 6: Labé</t>
  </si>
  <si>
    <t>Region 7: Mamou</t>
  </si>
  <si>
    <t>Region 8: Nzerekore</t>
  </si>
  <si>
    <t>TOTAL</t>
  </si>
  <si>
    <t>Round 2 - 2019</t>
  </si>
  <si>
    <t>Region 1: (name)</t>
  </si>
  <si>
    <t>Region 2: (name)</t>
  </si>
  <si>
    <t>Region 3: (name)</t>
  </si>
  <si>
    <t>Region 4: (name)</t>
  </si>
  <si>
    <t>Region 5: (name)</t>
  </si>
  <si>
    <t>Region 6: (name)</t>
  </si>
  <si>
    <t>Region 7: (name)</t>
  </si>
  <si>
    <t>Region 8: (name)</t>
  </si>
  <si>
    <t>Region 9: (name)</t>
  </si>
  <si>
    <t>Region 10: (name)</t>
  </si>
  <si>
    <t>Region 11: (name)</t>
  </si>
  <si>
    <t>Region 12: (name)</t>
  </si>
  <si>
    <t>Region 13: (name)</t>
  </si>
  <si>
    <t>Logistique (reprographie, achat ciseaux...)</t>
  </si>
  <si>
    <t>Supervsion interne HKI</t>
  </si>
  <si>
    <t>TOTAL CAMPAGNE</t>
  </si>
  <si>
    <t>SYNTHESE CAMPAGNE SVA-D 37 DS</t>
  </si>
  <si>
    <t>ACTIVITES</t>
  </si>
  <si>
    <t>Effectif /Qté</t>
  </si>
  <si>
    <t>Tx jour/Montant</t>
  </si>
  <si>
    <t>Nb jour</t>
  </si>
  <si>
    <t>SOURCE DE FINANCEMENT</t>
  </si>
  <si>
    <t>NOORDA</t>
  </si>
  <si>
    <t>ECT</t>
  </si>
  <si>
    <t>BGE</t>
  </si>
  <si>
    <t>Ressources humaines</t>
  </si>
  <si>
    <t>1.1</t>
  </si>
  <si>
    <t>Administrateurs</t>
  </si>
  <si>
    <t>1.2</t>
  </si>
  <si>
    <t>Superviseurs des équipes</t>
  </si>
  <si>
    <t>1.3</t>
  </si>
  <si>
    <t>Coordonnateurs de district</t>
  </si>
  <si>
    <t>1.4</t>
  </si>
  <si>
    <t>Forfait communication ECD</t>
  </si>
  <si>
    <t>1.5</t>
  </si>
  <si>
    <t xml:space="preserve">Point focal communication </t>
  </si>
  <si>
    <t>1.6</t>
  </si>
  <si>
    <t>Chauffeurs du district</t>
  </si>
  <si>
    <t>Sous total 1</t>
  </si>
  <si>
    <t>Formation et réunion</t>
  </si>
  <si>
    <t>2.1</t>
  </si>
  <si>
    <t>2.2</t>
  </si>
  <si>
    <t>superviseurs</t>
  </si>
  <si>
    <t>2.3</t>
  </si>
  <si>
    <t>Mobilisateurs</t>
  </si>
  <si>
    <t>Sous total 2</t>
  </si>
  <si>
    <t>Mobilisation sociale</t>
  </si>
  <si>
    <t>3.1</t>
  </si>
  <si>
    <t>3.2</t>
  </si>
  <si>
    <t>Griots</t>
  </si>
  <si>
    <t>3.3</t>
  </si>
  <si>
    <t>Radio locale</t>
  </si>
  <si>
    <t>Sous total 3</t>
  </si>
  <si>
    <t>Transport</t>
  </si>
  <si>
    <t>4.1</t>
  </si>
  <si>
    <t xml:space="preserve">Location de motos pour supervision de proximité </t>
  </si>
  <si>
    <t>4.2</t>
  </si>
  <si>
    <t>Location de hors bord</t>
  </si>
  <si>
    <t>4.3</t>
  </si>
  <si>
    <t>Carburant Equipes Multisectorielle</t>
  </si>
  <si>
    <t>Sous total 4</t>
  </si>
  <si>
    <t>Montant total DISTRICTS</t>
  </si>
  <si>
    <t xml:space="preserve">SUPPORTS ET OUTILS  DE COMMUNICATION </t>
  </si>
  <si>
    <t>5.1</t>
  </si>
  <si>
    <t>Chasubles+ Tee-shirts </t>
  </si>
  <si>
    <t>5.2</t>
  </si>
  <si>
    <t xml:space="preserve">Polo </t>
  </si>
  <si>
    <t>5.3</t>
  </si>
  <si>
    <t>Casquette</t>
  </si>
  <si>
    <t>5.4</t>
  </si>
  <si>
    <t>Dépliants</t>
  </si>
  <si>
    <t>5.5</t>
  </si>
  <si>
    <t>Ceremonie de lancement</t>
  </si>
  <si>
    <t>5.6</t>
  </si>
  <si>
    <t>Briefing des media</t>
  </si>
  <si>
    <t>5.7</t>
  </si>
  <si>
    <t>Affiches</t>
  </si>
  <si>
    <t>5.8</t>
  </si>
  <si>
    <t>Banderole en bâche</t>
  </si>
  <si>
    <t>5.9</t>
  </si>
  <si>
    <t xml:space="preserve">Production de spot TV </t>
  </si>
  <si>
    <t>5.10</t>
  </si>
  <si>
    <t>Diffusion de spot radio +TV</t>
  </si>
  <si>
    <t>5.11</t>
  </si>
  <si>
    <t xml:space="preserve">Production de spot radio </t>
  </si>
  <si>
    <t>5.12</t>
  </si>
  <si>
    <t xml:space="preserve">Duplication de CD spot radio </t>
  </si>
  <si>
    <t xml:space="preserve">sous total 1 </t>
  </si>
  <si>
    <t xml:space="preserve">OUTILS DE GESTION </t>
  </si>
  <si>
    <t>6.1</t>
  </si>
  <si>
    <t xml:space="preserve">Outils de gestion </t>
  </si>
  <si>
    <t>SUPERVISION</t>
  </si>
  <si>
    <t>7.1</t>
  </si>
  <si>
    <t>Perdiem Superviseurs interieur</t>
  </si>
  <si>
    <t>7.2</t>
  </si>
  <si>
    <t>Perdiem Superviseurs Abidjan</t>
  </si>
  <si>
    <t>7.3</t>
  </si>
  <si>
    <t>Perdiem  chauffeur</t>
  </si>
  <si>
    <t>7.4</t>
  </si>
  <si>
    <t>Location véhiculeSuperviseurs interieur</t>
  </si>
  <si>
    <t>7.5</t>
  </si>
  <si>
    <t>Location véhicule Superviseurs Abidjan</t>
  </si>
  <si>
    <t>7.6</t>
  </si>
  <si>
    <t xml:space="preserve">Forfait communication superviseurs </t>
  </si>
  <si>
    <t>Sous  total 3</t>
  </si>
  <si>
    <t xml:space="preserve">BRIEFING ET DEBRIEFING DES SUPERVISEURS  niveau central </t>
  </si>
  <si>
    <t>8.1</t>
  </si>
  <si>
    <t xml:space="preserve">Pause café </t>
  </si>
  <si>
    <t>8.2</t>
  </si>
  <si>
    <t xml:space="preserve">Dejeuner </t>
  </si>
  <si>
    <r>
      <rPr>
        <b/>
        <sz val="12"/>
        <rFont val="Garamond"/>
        <family val="1"/>
      </rPr>
      <t>Sous total 4</t>
    </r>
    <r>
      <rPr>
        <sz val="12"/>
        <rFont val="Garamond"/>
        <family val="1"/>
      </rPr>
      <t xml:space="preserve"> </t>
    </r>
  </si>
  <si>
    <t>LOGISTIQUE  (Mise en place des intrants)</t>
  </si>
  <si>
    <t>9.1</t>
  </si>
  <si>
    <t xml:space="preserve">Paire de ciseaux </t>
  </si>
  <si>
    <t>9.2</t>
  </si>
  <si>
    <t>Sachet poubelle, 100L (P/100)</t>
  </si>
  <si>
    <t>9.3</t>
  </si>
  <si>
    <t>Carton d'emballage</t>
  </si>
  <si>
    <t>9.4</t>
  </si>
  <si>
    <t>Scotch large bande</t>
  </si>
  <si>
    <t>9.5</t>
  </si>
  <si>
    <t>Collation paquetage</t>
  </si>
  <si>
    <t>9.6</t>
  </si>
  <si>
    <t>Collation manutention</t>
  </si>
  <si>
    <t>9.7</t>
  </si>
  <si>
    <t xml:space="preserve">Boite de reconditionnement </t>
  </si>
  <si>
    <t>9.8</t>
  </si>
  <si>
    <t>Approvisionnement DDS (Location camion)</t>
  </si>
  <si>
    <t>9.9</t>
  </si>
  <si>
    <t>Approvisionnement DDS (carburant)</t>
  </si>
  <si>
    <t>9.10</t>
  </si>
  <si>
    <t>Marqueur</t>
  </si>
  <si>
    <t>9.11</t>
  </si>
  <si>
    <t>Craie</t>
  </si>
  <si>
    <t>9.12</t>
  </si>
  <si>
    <t>Gel main hydroalcoolique 60 ml</t>
  </si>
  <si>
    <t>9.13</t>
  </si>
  <si>
    <t>Cache nez</t>
  </si>
  <si>
    <t xml:space="preserve">Sous total 5 </t>
  </si>
  <si>
    <t>COORDINATION</t>
  </si>
  <si>
    <t>10.1</t>
  </si>
  <si>
    <t>Supervision Coordination</t>
  </si>
  <si>
    <t>10.2</t>
  </si>
  <si>
    <t>Chauffeur Coordination</t>
  </si>
  <si>
    <t>10.3</t>
  </si>
  <si>
    <t xml:space="preserve">Coordination Equipe centrale </t>
  </si>
  <si>
    <t>10.4</t>
  </si>
  <si>
    <t>Forfait Communication coordination</t>
  </si>
  <si>
    <t>10.5</t>
  </si>
  <si>
    <t>Gestionnaire de données</t>
  </si>
  <si>
    <t>10.6</t>
  </si>
  <si>
    <t>Comptabilité</t>
  </si>
  <si>
    <t>10.7</t>
  </si>
  <si>
    <t>Logistique</t>
  </si>
  <si>
    <t>Sous total 6</t>
  </si>
  <si>
    <t xml:space="preserve">CARBURANT </t>
  </si>
  <si>
    <t>11.1</t>
  </si>
  <si>
    <t>Véhicule superviseurs</t>
  </si>
  <si>
    <t>11.2</t>
  </si>
  <si>
    <t>Véhicule Coordination</t>
  </si>
  <si>
    <t>11.3</t>
  </si>
  <si>
    <t>Equipe centrale</t>
  </si>
  <si>
    <t>Sous total 7</t>
  </si>
  <si>
    <t>Montant Total Central</t>
  </si>
  <si>
    <t xml:space="preserve">BUDGET TOTAL CAMPAGNE </t>
  </si>
  <si>
    <t>TOTAL HKI</t>
  </si>
  <si>
    <t>TOTAL NOORDA</t>
  </si>
  <si>
    <t>montant a virer au PNN</t>
  </si>
  <si>
    <t>montant a engager par hki</t>
  </si>
  <si>
    <t>montant total des requêtes</t>
  </si>
  <si>
    <t>Source</t>
  </si>
  <si>
    <t>Montant ( F CFA)</t>
  </si>
  <si>
    <t>Pourcentage</t>
  </si>
  <si>
    <t>ETAT</t>
  </si>
  <si>
    <t>173 187 359</t>
  </si>
  <si>
    <t>16 494 597</t>
  </si>
  <si>
    <t>NOORDA/GIVE WELL</t>
  </si>
  <si>
    <t>99 190 016</t>
  </si>
  <si>
    <t>EFFECT HOPE/ECT</t>
  </si>
  <si>
    <t>64 729 225</t>
  </si>
  <si>
    <t xml:space="preserve">163 919 241   </t>
  </si>
  <si>
    <t>3000/1300</t>
  </si>
  <si>
    <t>FOND MONDIALE VIH/SIDA</t>
  </si>
  <si>
    <t>Other: détail</t>
  </si>
  <si>
    <t>amount F Cfa</t>
  </si>
  <si>
    <t>amount f cfa</t>
  </si>
  <si>
    <t>multiplication des outils de suivi/supervision des JVA+</t>
  </si>
  <si>
    <t>Salaire des agents de santé,  acquisition de la logistique roulante, infrastructures ET  Paiement de la motivation financière des agents de santé à base communautaires (ASBC)</t>
  </si>
  <si>
    <t>15 000 F CFA /ACBC, au total  17 668  ASBC</t>
  </si>
  <si>
    <r>
      <rPr>
        <sz val="11"/>
        <color rgb="FFFF0000"/>
        <rFont val="Calibri"/>
        <family val="2"/>
        <scheme val="minor"/>
      </rPr>
      <t>Achat, transport, stockage d'intrants (Vitamine A, mebendazole),transport des intrants au niveau national dans les agences régionales de la  Centrale d'Achat des Médicaments Essentiels Génériques et des Consommables médicaux (CAMEG),</t>
    </r>
    <r>
      <rPr>
        <sz val="11"/>
        <color theme="1"/>
        <rFont val="Calibri"/>
        <family val="2"/>
        <scheme val="minor"/>
      </rPr>
      <t xml:space="preserve"> financement de lancement des JVA+ avec le SG du MoH,  la rencontre préparatoire au niveau central  </t>
    </r>
  </si>
  <si>
    <t>Contribution au paiement de la motivation financière des agents de santé à base communautaires (ASBC)</t>
  </si>
  <si>
    <t>5 000 F CFA /ACBC, au total  17 668  ASBC</t>
  </si>
  <si>
    <t>Réalisation /diffusion de spot vidéo pour la sensibilisation/information des population par rapport aux JVA+</t>
  </si>
  <si>
    <t>Supervision de la campagne JVA+ dans les 13 régions</t>
  </si>
  <si>
    <t>Region 1: Centre - Ouest</t>
  </si>
  <si>
    <t xml:space="preserve">Organisation d'une rencontre préparatoire des JVA+ au niveau régional et au niveau district </t>
  </si>
  <si>
    <t xml:space="preserve">Salaire du personnel, motivation financière des agents de santé à base communautaire, acquisition de la logistique roulante </t>
  </si>
  <si>
    <t>Organisation de la campagne JVA+ dans les districts sanitaires de la région</t>
  </si>
  <si>
    <t>Region 2: Centre - Sud</t>
  </si>
  <si>
    <t>Region 3: Plateau - Central</t>
  </si>
  <si>
    <t>Region 4: Boucle du Mouhoun</t>
  </si>
  <si>
    <t>Organisation d'une rencontre préparatoire des JVA+ au niveau régional et au niveau district</t>
  </si>
  <si>
    <t>Region 5: Cascades</t>
  </si>
  <si>
    <t>Region 6: Centre</t>
  </si>
  <si>
    <t>Region 7: Centre - Est</t>
  </si>
  <si>
    <t>Region 8: Centre - Nord</t>
  </si>
  <si>
    <t>Region 9:  Est</t>
  </si>
  <si>
    <t>Region 10: Hauts- Bassins</t>
  </si>
  <si>
    <t>Region  11: Nord</t>
  </si>
  <si>
    <t>Region 12: Sahel</t>
  </si>
  <si>
    <t>Region 13: Sud - Ouest</t>
  </si>
  <si>
    <t>Other: detail</t>
  </si>
  <si>
    <t>ETAT (prise en charge de 17668 ASBC à hauteur de 15000/ASBC)</t>
  </si>
  <si>
    <t xml:space="preserve">265 020 000   </t>
  </si>
  <si>
    <t>FOND MONDIALE VIH/SIDA (prise en charge de 17668 ASBC à hauteur de 5000/ASBC)</t>
  </si>
  <si>
    <t xml:space="preserve">88 340 000   </t>
  </si>
  <si>
    <t xml:space="preserve">133 927 960   </t>
  </si>
  <si>
    <t>HKI (GIVE WELL)</t>
  </si>
  <si>
    <t xml:space="preserve">49 984 610   </t>
  </si>
  <si>
    <t xml:space="preserve">TOTAL </t>
  </si>
  <si>
    <t xml:space="preserve">537 272 570   </t>
  </si>
  <si>
    <t xml:space="preserve">OMS </t>
  </si>
  <si>
    <t>-Tous les aspects de la campagne honnis la mobilisation sociale</t>
  </si>
  <si>
    <t>841 831 368</t>
  </si>
  <si>
    <t xml:space="preserve">UNICEF </t>
  </si>
  <si>
    <t>- mobilisation sociale au niveau central et régional</t>
  </si>
  <si>
    <t>- supervision</t>
  </si>
  <si>
    <t>163 074 695</t>
  </si>
  <si>
    <t>-Appui au niveau national (Sac et Ciseaux)</t>
  </si>
  <si>
    <t>-Supervision</t>
  </si>
  <si>
    <t>-Enquête de couverture</t>
  </si>
  <si>
    <t>54 758 894</t>
  </si>
  <si>
    <t xml:space="preserve">        61 438 894   </t>
  </si>
  <si>
    <t>amount FCFA</t>
  </si>
  <si>
    <t>Supervision Nationale</t>
  </si>
  <si>
    <t>Transport des intrants</t>
  </si>
  <si>
    <t>reprographie</t>
  </si>
  <si>
    <t>mise en place intrants</t>
  </si>
  <si>
    <t>location véhicule supervision</t>
  </si>
  <si>
    <t>Kayes</t>
  </si>
  <si>
    <t>perdiems vaccinateurs</t>
  </si>
  <si>
    <t>Supervision des aires</t>
  </si>
  <si>
    <t>supevision des districts</t>
  </si>
  <si>
    <t>Mise en place des intrants districts</t>
  </si>
  <si>
    <t>Transmission données</t>
  </si>
  <si>
    <t>Supervision région</t>
  </si>
  <si>
    <t>Mise en place des intrants dans les aires</t>
  </si>
  <si>
    <t xml:space="preserve"> Koulikoro</t>
  </si>
  <si>
    <t>Cout operationnel SIAN</t>
  </si>
  <si>
    <t xml:space="preserve"> Sikasso</t>
  </si>
  <si>
    <t xml:space="preserve"> Ségou</t>
  </si>
  <si>
    <t>Mopti</t>
  </si>
  <si>
    <t>3eme vaccinateur</t>
  </si>
  <si>
    <t>Couts operationnels polio</t>
  </si>
  <si>
    <t>Tombouctou</t>
  </si>
  <si>
    <t>GAO</t>
  </si>
  <si>
    <t>Menaka</t>
  </si>
  <si>
    <t>KIDAL</t>
  </si>
  <si>
    <t>TAOUDENIT</t>
  </si>
  <si>
    <r>
      <t xml:space="preserve"> </t>
    </r>
    <r>
      <rPr>
        <b/>
        <sz val="14"/>
        <color theme="1"/>
        <rFont val="Calibri"/>
        <family val="2"/>
        <scheme val="minor"/>
      </rPr>
      <t>Bamako</t>
    </r>
  </si>
  <si>
    <t>Total (CFA)</t>
  </si>
  <si>
    <t>Total ($)</t>
  </si>
  <si>
    <t>Cout total campagne ($)</t>
  </si>
  <si>
    <t>Partner</t>
  </si>
  <si>
    <t>level</t>
  </si>
  <si>
    <t>HKI</t>
  </si>
  <si>
    <t>Sub national</t>
  </si>
  <si>
    <t>MoH</t>
  </si>
  <si>
    <t>Global fund</t>
  </si>
  <si>
    <t>WHO</t>
  </si>
  <si>
    <t>usd</t>
  </si>
  <si>
    <t>USD</t>
  </si>
  <si>
    <t>Burkina Faso XOF</t>
  </si>
  <si>
    <t>Cote d'Ivoire XOF</t>
  </si>
  <si>
    <t>Guinea XOF</t>
  </si>
  <si>
    <t>Mali XOF</t>
  </si>
  <si>
    <t>Niger XOF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</si>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</sst>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[$$-409]* #,##0_ ;_-[$$-409]* \-#,##0\ ;_-[$$-409]* &quot;-&quot;_ ;_-@_ "/>
    <numFmt numFmtId="167" formatCode="_-* #,##0.00\ _€_-;\-* #,##0.00\ _€_-;_-* &quot;-&quot;??\ _€_-;_-@_-"/>
    <numFmt numFmtId="168" formatCode="_-* #,##0\ _€_-;\-* #,##0\ _€_-;_-* &quot;-&quot;??\ _€_-;_-@_-"/>
    <numFmt numFmtId="169" formatCode="0.0"/>
    <numFmt numFmtId="170" formatCode="#,##0.0"/>
    <numFmt numFmtId="171" formatCode="_-* #,##0\ [$CFA-340C]_-;\-* #,##0\ [$CFA-340C]_-;_-* &quot;-&quot;\ [$CFA-340C]_-;_-@_-"/>
    <numFmt numFmtId="172" formatCode="_-[$$-409]* #,##0.00_ ;_-[$$-409]* \-#,##0.00\ ;_-[$$-409]* &quot;-&quot;??_ ;_-@_ "/>
    <numFmt numFmtId="173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164" fontId="3" fillId="0" borderId="0" applyFont="0" applyFill="0" applyBorder="0" applyAlignment="0" applyProtection="0"/>
  </cellStyleXfs>
  <cellXfs count="253">
    <xf numFmtId="0" fontId="0" fillId="0" borderId="0" xfId="0"/>
    <xf numFmtId="0" fontId="0" fillId="2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166" fontId="2" fillId="2" borderId="1" xfId="0" applyNumberFormat="1" applyFont="1" applyFill="1" applyBorder="1"/>
    <xf numFmtId="0" fontId="5" fillId="0" borderId="0" xfId="3" applyFont="1" applyAlignment="1">
      <alignment horizontal="center" vertical="center"/>
    </xf>
    <xf numFmtId="0" fontId="6" fillId="0" borderId="14" xfId="4" applyFont="1" applyBorder="1" applyAlignment="1">
      <alignment horizontal="center"/>
    </xf>
    <xf numFmtId="168" fontId="0" fillId="0" borderId="0" xfId="1" applyNumberFormat="1" applyFont="1"/>
    <xf numFmtId="0" fontId="6" fillId="7" borderId="2" xfId="4" applyFont="1" applyFill="1" applyBorder="1" applyAlignment="1">
      <alignment horizontal="center" vertical="center"/>
    </xf>
    <xf numFmtId="0" fontId="6" fillId="7" borderId="2" xfId="4" applyFont="1" applyFill="1" applyBorder="1" applyAlignment="1">
      <alignment horizontal="center" vertical="center" wrapText="1"/>
    </xf>
    <xf numFmtId="168" fontId="6" fillId="7" borderId="2" xfId="1" applyNumberFormat="1" applyFont="1" applyFill="1" applyBorder="1" applyAlignment="1">
      <alignment horizontal="center" vertical="center" wrapText="1"/>
    </xf>
    <xf numFmtId="0" fontId="6" fillId="7" borderId="8" xfId="4" applyFont="1" applyFill="1" applyBorder="1" applyAlignment="1">
      <alignment horizontal="center" vertical="center"/>
    </xf>
    <xf numFmtId="0" fontId="6" fillId="7" borderId="8" xfId="4" applyFont="1" applyFill="1" applyBorder="1" applyAlignment="1">
      <alignment horizontal="center" vertical="center" wrapText="1"/>
    </xf>
    <xf numFmtId="168" fontId="6" fillId="7" borderId="8" xfId="1" applyNumberFormat="1" applyFont="1" applyFill="1" applyBorder="1" applyAlignment="1">
      <alignment horizontal="center" vertical="center" wrapText="1"/>
    </xf>
    <xf numFmtId="0" fontId="6" fillId="8" borderId="4" xfId="4" applyFont="1" applyFill="1" applyBorder="1" applyAlignment="1">
      <alignment horizontal="center" vertical="center" wrapText="1"/>
    </xf>
    <xf numFmtId="0" fontId="6" fillId="8" borderId="1" xfId="4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/>
    </xf>
    <xf numFmtId="169" fontId="5" fillId="0" borderId="1" xfId="3" applyNumberFormat="1" applyFont="1" applyBorder="1" applyAlignment="1">
      <alignment horizontal="center" vertical="center"/>
    </xf>
    <xf numFmtId="3" fontId="5" fillId="10" borderId="1" xfId="4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68" fontId="0" fillId="0" borderId="1" xfId="1" applyNumberFormat="1" applyFont="1" applyBorder="1" applyAlignment="1">
      <alignment vertical="center"/>
    </xf>
    <xf numFmtId="3" fontId="5" fillId="0" borderId="1" xfId="4" applyNumberFormat="1" applyFont="1" applyFill="1" applyBorder="1" applyAlignment="1">
      <alignment vertical="center" wrapText="1"/>
    </xf>
    <xf numFmtId="170" fontId="5" fillId="10" borderId="1" xfId="4" applyNumberFormat="1" applyFont="1" applyFill="1" applyBorder="1" applyAlignment="1">
      <alignment vertical="center" wrapText="1"/>
    </xf>
    <xf numFmtId="169" fontId="7" fillId="0" borderId="1" xfId="3" applyNumberFormat="1" applyFont="1" applyBorder="1" applyAlignment="1">
      <alignment horizontal="center" vertical="center"/>
    </xf>
    <xf numFmtId="3" fontId="8" fillId="10" borderId="1" xfId="4" applyNumberFormat="1" applyFont="1" applyFill="1" applyBorder="1" applyAlignment="1">
      <alignment vertical="center" wrapText="1"/>
    </xf>
    <xf numFmtId="168" fontId="1" fillId="0" borderId="1" xfId="1" applyNumberFormat="1" applyFont="1" applyBorder="1" applyAlignment="1">
      <alignment vertical="center"/>
    </xf>
    <xf numFmtId="1" fontId="6" fillId="9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9" fillId="11" borderId="1" xfId="3" applyFont="1" applyFill="1" applyBorder="1" applyAlignment="1">
      <alignment horizontal="center" vertical="center"/>
    </xf>
    <xf numFmtId="3" fontId="9" fillId="11" borderId="1" xfId="4" applyNumberFormat="1" applyFont="1" applyFill="1" applyBorder="1" applyAlignment="1">
      <alignment vertical="center" wrapText="1"/>
    </xf>
    <xf numFmtId="3" fontId="1" fillId="11" borderId="1" xfId="0" applyNumberFormat="1" applyFont="1" applyFill="1" applyBorder="1"/>
    <xf numFmtId="168" fontId="1" fillId="11" borderId="1" xfId="1" applyNumberFormat="1" applyFont="1" applyFill="1" applyBorder="1"/>
    <xf numFmtId="168" fontId="1" fillId="0" borderId="0" xfId="1" applyNumberFormat="1" applyFont="1"/>
    <xf numFmtId="0" fontId="5" fillId="0" borderId="1" xfId="3" applyFont="1" applyBorder="1" applyAlignment="1">
      <alignment horizontal="center" vertical="center"/>
    </xf>
    <xf numFmtId="3" fontId="5" fillId="10" borderId="1" xfId="4" applyNumberFormat="1" applyFont="1" applyFill="1" applyBorder="1" applyAlignment="1">
      <alignment wrapText="1"/>
    </xf>
    <xf numFmtId="3" fontId="0" fillId="0" borderId="1" xfId="0" applyNumberFormat="1" applyBorder="1" applyAlignment="1"/>
    <xf numFmtId="168" fontId="0" fillId="0" borderId="1" xfId="1" applyNumberFormat="1" applyFont="1" applyBorder="1" applyAlignment="1"/>
    <xf numFmtId="0" fontId="10" fillId="0" borderId="1" xfId="0" applyFont="1" applyBorder="1" applyAlignment="1">
      <alignment horizontal="left" wrapText="1"/>
    </xf>
    <xf numFmtId="168" fontId="1" fillId="0" borderId="1" xfId="1" applyNumberFormat="1" applyFont="1" applyBorder="1" applyAlignment="1"/>
    <xf numFmtId="1" fontId="0" fillId="0" borderId="1" xfId="0" applyNumberFormat="1" applyBorder="1" applyAlignment="1"/>
    <xf numFmtId="0" fontId="0" fillId="0" borderId="1" xfId="0" applyBorder="1" applyAlignment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3" fontId="5" fillId="12" borderId="1" xfId="4" applyNumberFormat="1" applyFont="1" applyFill="1" applyBorder="1" applyAlignment="1">
      <alignment wrapText="1"/>
    </xf>
    <xf numFmtId="1" fontId="0" fillId="12" borderId="1" xfId="0" applyNumberFormat="1" applyFill="1" applyBorder="1" applyAlignment="1"/>
    <xf numFmtId="168" fontId="0" fillId="12" borderId="1" xfId="1" applyNumberFormat="1" applyFont="1" applyFill="1" applyBorder="1" applyAlignment="1"/>
    <xf numFmtId="0" fontId="0" fillId="12" borderId="1" xfId="0" applyFill="1" applyBorder="1" applyAlignment="1"/>
    <xf numFmtId="0" fontId="10" fillId="2" borderId="1" xfId="0" applyFont="1" applyFill="1" applyBorder="1" applyAlignment="1">
      <alignment horizontal="left"/>
    </xf>
    <xf numFmtId="167" fontId="0" fillId="0" borderId="1" xfId="1" applyNumberFormat="1" applyFont="1" applyBorder="1" applyAlignment="1"/>
    <xf numFmtId="3" fontId="9" fillId="11" borderId="1" xfId="4" applyNumberFormat="1" applyFont="1" applyFill="1" applyBorder="1" applyAlignment="1">
      <alignment wrapText="1"/>
    </xf>
    <xf numFmtId="0" fontId="0" fillId="11" borderId="1" xfId="0" applyFill="1" applyBorder="1" applyAlignment="1"/>
    <xf numFmtId="168" fontId="0" fillId="11" borderId="1" xfId="1" applyNumberFormat="1" applyFont="1" applyFill="1" applyBorder="1" applyAlignment="1"/>
    <xf numFmtId="168" fontId="1" fillId="11" borderId="1" xfId="1" applyNumberFormat="1" applyFont="1" applyFill="1" applyBorder="1" applyAlignment="1"/>
    <xf numFmtId="0" fontId="12" fillId="13" borderId="0" xfId="3" applyFont="1" applyFill="1"/>
    <xf numFmtId="0" fontId="13" fillId="13" borderId="0" xfId="0" applyFont="1" applyFill="1"/>
    <xf numFmtId="168" fontId="13" fillId="13" borderId="0" xfId="1" applyNumberFormat="1" applyFont="1" applyFill="1"/>
    <xf numFmtId="0" fontId="5" fillId="0" borderId="0" xfId="3" applyFont="1"/>
    <xf numFmtId="9" fontId="0" fillId="0" borderId="0" xfId="2" applyFont="1"/>
    <xf numFmtId="168" fontId="1" fillId="0" borderId="0" xfId="0" applyNumberFormat="1" applyFont="1"/>
    <xf numFmtId="0" fontId="14" fillId="14" borderId="0" xfId="0" applyFont="1" applyFill="1"/>
    <xf numFmtId="168" fontId="14" fillId="14" borderId="0" xfId="0" applyNumberFormat="1" applyFont="1" applyFill="1"/>
    <xf numFmtId="3" fontId="14" fillId="15" borderId="0" xfId="0" applyNumberFormat="1" applyFont="1" applyFill="1"/>
    <xf numFmtId="3" fontId="14" fillId="16" borderId="0" xfId="0" applyNumberFormat="1" applyFont="1" applyFill="1" applyAlignment="1">
      <alignment horizontal="center" vertical="center"/>
    </xf>
    <xf numFmtId="0" fontId="15" fillId="0" borderId="0" xfId="0" applyFont="1"/>
    <xf numFmtId="0" fontId="14" fillId="2" borderId="0" xfId="0" applyFont="1" applyFill="1" applyAlignment="1">
      <alignment horizontal="center" vertical="center"/>
    </xf>
    <xf numFmtId="168" fontId="14" fillId="15" borderId="0" xfId="0" applyNumberFormat="1" applyFont="1" applyFill="1"/>
    <xf numFmtId="168" fontId="14" fillId="16" borderId="0" xfId="0" applyNumberFormat="1" applyFont="1" applyFill="1" applyAlignment="1">
      <alignment horizontal="center" vertical="center"/>
    </xf>
    <xf numFmtId="0" fontId="15" fillId="14" borderId="0" xfId="0" applyFont="1" applyFill="1"/>
    <xf numFmtId="0" fontId="15" fillId="15" borderId="0" xfId="0" applyFont="1" applyFill="1"/>
    <xf numFmtId="0" fontId="15" fillId="16" borderId="0" xfId="0" applyFont="1" applyFill="1"/>
    <xf numFmtId="0" fontId="16" fillId="17" borderId="15" xfId="0" applyFont="1" applyFill="1" applyBorder="1" applyAlignment="1">
      <alignment vertical="center" wrapText="1"/>
    </xf>
    <xf numFmtId="0" fontId="16" fillId="17" borderId="16" xfId="0" applyFont="1" applyFill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9" fontId="17" fillId="0" borderId="18" xfId="0" applyNumberFormat="1" applyFont="1" applyBorder="1" applyAlignment="1">
      <alignment vertical="center" wrapText="1"/>
    </xf>
    <xf numFmtId="168" fontId="0" fillId="2" borderId="1" xfId="1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166" fontId="0" fillId="18" borderId="1" xfId="0" applyNumberForma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168" fontId="0" fillId="19" borderId="1" xfId="1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horizontal="left" vertical="center"/>
    </xf>
    <xf numFmtId="0" fontId="0" fillId="18" borderId="1" xfId="0" applyFill="1" applyBorder="1" applyAlignment="1">
      <alignment horizontal="center" vertical="center" wrapText="1"/>
    </xf>
    <xf numFmtId="165" fontId="0" fillId="18" borderId="2" xfId="1" applyFont="1" applyFill="1" applyBorder="1" applyAlignment="1">
      <alignment horizontal="center" vertical="center"/>
    </xf>
    <xf numFmtId="165" fontId="0" fillId="18" borderId="8" xfId="1" applyFont="1" applyFill="1" applyBorder="1" applyAlignment="1">
      <alignment horizontal="center" vertical="center"/>
    </xf>
    <xf numFmtId="168" fontId="19" fillId="2" borderId="0" xfId="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8" fontId="19" fillId="16" borderId="0" xfId="0" applyNumberFormat="1" applyFont="1" applyFill="1"/>
    <xf numFmtId="168" fontId="0" fillId="2" borderId="0" xfId="1" applyNumberFormat="1" applyFont="1" applyFill="1" applyAlignment="1">
      <alignment horizontal="center" vertical="center"/>
    </xf>
    <xf numFmtId="9" fontId="19" fillId="14" borderId="0" xfId="2" applyFont="1" applyFill="1" applyAlignment="1">
      <alignment horizontal="center" vertical="center"/>
    </xf>
    <xf numFmtId="9" fontId="19" fillId="2" borderId="0" xfId="2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vertical="center" wrapText="1"/>
    </xf>
    <xf numFmtId="0" fontId="23" fillId="17" borderId="16" xfId="0" applyFont="1" applyFill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9" fontId="22" fillId="0" borderId="18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1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left" vertical="center"/>
    </xf>
    <xf numFmtId="0" fontId="0" fillId="20" borderId="1" xfId="0" applyFill="1" applyBorder="1" applyAlignment="1">
      <alignment horizontal="center" vertical="center"/>
    </xf>
    <xf numFmtId="0" fontId="0" fillId="21" borderId="1" xfId="0" applyFill="1" applyBorder="1" applyAlignment="1">
      <alignment wrapText="1"/>
    </xf>
    <xf numFmtId="0" fontId="1" fillId="2" borderId="1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25" fillId="21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3" fontId="25" fillId="2" borderId="2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2" borderId="3" xfId="0" applyFill="1" applyBorder="1"/>
    <xf numFmtId="0" fontId="0" fillId="7" borderId="22" xfId="0" applyFill="1" applyBorder="1"/>
    <xf numFmtId="0" fontId="0" fillId="7" borderId="23" xfId="0" applyFill="1" applyBorder="1"/>
    <xf numFmtId="173" fontId="0" fillId="2" borderId="24" xfId="1" applyNumberFormat="1" applyFont="1" applyFill="1" applyBorder="1"/>
    <xf numFmtId="173" fontId="0" fillId="2" borderId="25" xfId="1" applyNumberFormat="1" applyFont="1" applyFill="1" applyBorder="1"/>
    <xf numFmtId="173" fontId="0" fillId="2" borderId="26" xfId="1" applyNumberFormat="1" applyFont="1" applyFill="1" applyBorder="1" applyAlignment="1"/>
    <xf numFmtId="0" fontId="0" fillId="2" borderId="24" xfId="0" applyFill="1" applyBorder="1"/>
    <xf numFmtId="0" fontId="0" fillId="2" borderId="25" xfId="0" applyFill="1" applyBorder="1"/>
    <xf numFmtId="173" fontId="0" fillId="7" borderId="27" xfId="0" applyNumberFormat="1" applyFill="1" applyBorder="1"/>
    <xf numFmtId="173" fontId="0" fillId="7" borderId="28" xfId="1" applyNumberFormat="1" applyFont="1" applyFill="1" applyBorder="1"/>
    <xf numFmtId="173" fontId="0" fillId="7" borderId="29" xfId="0" applyNumberFormat="1" applyFill="1" applyBorder="1"/>
    <xf numFmtId="0" fontId="0" fillId="7" borderId="3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68" fontId="0" fillId="2" borderId="2" xfId="1" applyNumberFormat="1" applyFont="1" applyFill="1" applyBorder="1" applyAlignment="1">
      <alignment horizontal="center" vertical="center"/>
    </xf>
    <xf numFmtId="168" fontId="0" fillId="2" borderId="8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8" fontId="0" fillId="2" borderId="5" xfId="1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6" fillId="9" borderId="1" xfId="4" applyNumberFormat="1" applyFont="1" applyFill="1" applyBorder="1" applyAlignment="1">
      <alignment horizontal="left" vertical="center" wrapText="1"/>
    </xf>
    <xf numFmtId="168" fontId="6" fillId="8" borderId="2" xfId="1" applyNumberFormat="1" applyFont="1" applyFill="1" applyBorder="1" applyAlignment="1">
      <alignment horizontal="center" vertical="center" wrapText="1"/>
    </xf>
    <xf numFmtId="168" fontId="6" fillId="8" borderId="8" xfId="1" applyNumberFormat="1" applyFont="1" applyFill="1" applyBorder="1" applyAlignment="1">
      <alignment horizontal="center" vertical="center" wrapText="1"/>
    </xf>
    <xf numFmtId="0" fontId="6" fillId="8" borderId="9" xfId="4" applyFont="1" applyFill="1" applyBorder="1" applyAlignment="1">
      <alignment horizontal="center" vertical="center" wrapText="1"/>
    </xf>
    <xf numFmtId="0" fontId="6" fillId="8" borderId="0" xfId="4" applyFont="1" applyFill="1" applyBorder="1" applyAlignment="1">
      <alignment horizontal="center" vertical="center" wrapText="1"/>
    </xf>
    <xf numFmtId="3" fontId="6" fillId="9" borderId="1" xfId="4" applyNumberFormat="1" applyFont="1" applyFill="1" applyBorder="1" applyAlignment="1">
      <alignment horizontal="left" wrapText="1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9" fontId="22" fillId="0" borderId="20" xfId="0" applyNumberFormat="1" applyFont="1" applyBorder="1" applyAlignment="1">
      <alignment vertical="center" wrapText="1"/>
    </xf>
    <xf numFmtId="9" fontId="22" fillId="0" borderId="17" xfId="0" applyNumberFormat="1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9" fontId="22" fillId="0" borderId="19" xfId="0" applyNumberFormat="1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172" fontId="13" fillId="2" borderId="3" xfId="5" applyNumberFormat="1" applyFont="1" applyFill="1" applyBorder="1" applyAlignment="1">
      <alignment horizontal="center" vertical="center"/>
    </xf>
    <xf numFmtId="172" fontId="13" fillId="2" borderId="4" xfId="5" applyNumberFormat="1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center"/>
    </xf>
    <xf numFmtId="171" fontId="1" fillId="2" borderId="4" xfId="0" applyNumberFormat="1" applyFont="1" applyFill="1" applyBorder="1" applyAlignment="1">
      <alignment horizontal="center" vertical="center"/>
    </xf>
    <xf numFmtId="171" fontId="13" fillId="2" borderId="3" xfId="0" applyNumberFormat="1" applyFont="1" applyFill="1" applyBorder="1" applyAlignment="1">
      <alignment horizontal="center" vertical="center"/>
    </xf>
    <xf numFmtId="171" fontId="13" fillId="2" borderId="4" xfId="0" applyNumberFormat="1" applyFont="1" applyFill="1" applyBorder="1" applyAlignment="1">
      <alignment horizontal="center" vertical="center"/>
    </xf>
    <xf numFmtId="164" fontId="1" fillId="2" borderId="3" xfId="5" applyFont="1" applyFill="1" applyBorder="1" applyAlignment="1">
      <alignment horizontal="center" vertical="center"/>
    </xf>
    <xf numFmtId="164" fontId="1" fillId="2" borderId="4" xfId="5" applyFont="1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0" fontId="25" fillId="21" borderId="3" xfId="0" applyFont="1" applyFill="1" applyBorder="1" applyAlignment="1">
      <alignment horizontal="center" vertical="center"/>
    </xf>
    <xf numFmtId="0" fontId="25" fillId="21" borderId="4" xfId="0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25" fillId="20" borderId="3" xfId="0" applyFont="1" applyFill="1" applyBorder="1" applyAlignment="1">
      <alignment horizontal="center" vertical="center"/>
    </xf>
    <xf numFmtId="0" fontId="25" fillId="20" borderId="4" xfId="0" applyFont="1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25" fillId="20" borderId="6" xfId="0" applyFont="1" applyFill="1" applyBorder="1" applyAlignment="1">
      <alignment horizontal="center" vertical="center"/>
    </xf>
    <xf numFmtId="0" fontId="25" fillId="20" borderId="7" xfId="0" applyFont="1" applyFill="1" applyBorder="1" applyAlignment="1">
      <alignment horizontal="center" vertical="center"/>
    </xf>
    <xf numFmtId="0" fontId="25" fillId="20" borderId="9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/>
    </xf>
    <xf numFmtId="0" fontId="25" fillId="20" borderId="2" xfId="0" applyFont="1" applyFill="1" applyBorder="1" applyAlignment="1">
      <alignment horizontal="center" vertical="center"/>
    </xf>
    <xf numFmtId="0" fontId="25" fillId="20" borderId="5" xfId="0" applyFont="1" applyFill="1" applyBorder="1" applyAlignment="1">
      <alignment horizontal="center" vertical="center"/>
    </xf>
    <xf numFmtId="0" fontId="25" fillId="20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0" borderId="21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</cellXfs>
  <cellStyles count="6">
    <cellStyle name="Comma" xfId="1" builtinId="3"/>
    <cellStyle name="Currency" xfId="5" builtinId="4"/>
    <cellStyle name="Normal" xfId="0" builtinId="0"/>
    <cellStyle name="Normal 2 2" xfId="4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workbookViewId="0">
      <selection activeCell="M16" sqref="M16"/>
    </sheetView>
  </sheetViews>
  <sheetFormatPr baseColWidth="10" defaultColWidth="8.83203125" defaultRowHeight="15" x14ac:dyDescent="0.2"/>
  <cols>
    <col min="1" max="1" width="8.83203125" style="1"/>
    <col min="2" max="3" width="13.83203125" style="1" customWidth="1"/>
    <col min="4" max="4" width="16.33203125" style="1" bestFit="1" customWidth="1"/>
    <col min="5" max="5" width="17.1640625" style="1" customWidth="1"/>
    <col min="6" max="6" width="12.33203125" style="1" bestFit="1" customWidth="1"/>
    <col min="7" max="7" width="12.33203125" style="1" customWidth="1"/>
    <col min="8" max="8" width="15.6640625" style="1" customWidth="1"/>
    <col min="9" max="9" width="11.6640625" style="1" customWidth="1"/>
    <col min="10" max="10" width="12.33203125" style="1" customWidth="1"/>
    <col min="11" max="11" width="14.5" style="1" customWidth="1"/>
    <col min="12" max="12" width="15.5" style="1" customWidth="1"/>
    <col min="13" max="13" width="12.6640625" style="1" customWidth="1"/>
    <col min="14" max="16384" width="8.83203125" style="1"/>
  </cols>
  <sheetData>
    <row r="1" spans="2:13" ht="16" thickBot="1" x14ac:dyDescent="0.25"/>
    <row r="2" spans="2:13" x14ac:dyDescent="0.2">
      <c r="B2" s="130" t="s">
        <v>288</v>
      </c>
      <c r="C2" s="131" t="s">
        <v>289</v>
      </c>
      <c r="D2" s="133" t="s">
        <v>297</v>
      </c>
      <c r="E2" s="134" t="s">
        <v>296</v>
      </c>
      <c r="F2" s="133" t="s">
        <v>298</v>
      </c>
      <c r="G2" s="134" t="s">
        <v>296</v>
      </c>
      <c r="H2" s="133" t="s">
        <v>299</v>
      </c>
      <c r="I2" s="134" t="s">
        <v>295</v>
      </c>
      <c r="J2" s="133" t="s">
        <v>300</v>
      </c>
      <c r="K2" s="134" t="s">
        <v>295</v>
      </c>
      <c r="L2" s="133" t="s">
        <v>301</v>
      </c>
      <c r="M2" s="134" t="s">
        <v>295</v>
      </c>
    </row>
    <row r="3" spans="2:13" x14ac:dyDescent="0.2">
      <c r="B3" s="145" t="s">
        <v>290</v>
      </c>
      <c r="C3" s="132" t="s">
        <v>8</v>
      </c>
      <c r="D3" s="135">
        <v>18437810</v>
      </c>
      <c r="E3" s="136">
        <f>D3*0.00172</f>
        <v>31713.033199999998</v>
      </c>
      <c r="F3" s="138"/>
      <c r="G3" s="139"/>
      <c r="H3" s="138"/>
      <c r="I3" s="136">
        <v>13429</v>
      </c>
      <c r="J3" s="135">
        <v>14234238</v>
      </c>
      <c r="K3" s="136">
        <f t="shared" ref="K3:K12" si="0">J3*0.00172</f>
        <v>24482.889360000001</v>
      </c>
      <c r="L3" s="138"/>
      <c r="M3" s="139"/>
    </row>
    <row r="4" spans="2:13" x14ac:dyDescent="0.2">
      <c r="B4" s="146"/>
      <c r="C4" s="132" t="s">
        <v>291</v>
      </c>
      <c r="D4" s="135">
        <v>31546800</v>
      </c>
      <c r="E4" s="136">
        <f t="shared" ref="E4:G10" si="1">D4*0.00172</f>
        <v>54260.495999999999</v>
      </c>
      <c r="F4" s="135">
        <v>163919241</v>
      </c>
      <c r="G4" s="136">
        <f t="shared" si="1"/>
        <v>281941.09451999998</v>
      </c>
      <c r="H4" s="138"/>
      <c r="I4" s="136">
        <v>113222</v>
      </c>
      <c r="J4" s="135">
        <v>110519701</v>
      </c>
      <c r="K4" s="136">
        <f t="shared" si="0"/>
        <v>190093.88571999999</v>
      </c>
      <c r="L4" s="135">
        <v>54758894</v>
      </c>
      <c r="M4" s="136">
        <f t="shared" ref="M4" si="2">L4*0.00172</f>
        <v>94185.297680000003</v>
      </c>
    </row>
    <row r="5" spans="2:13" x14ac:dyDescent="0.2">
      <c r="B5" s="145" t="s">
        <v>3</v>
      </c>
      <c r="C5" s="132" t="s">
        <v>8</v>
      </c>
      <c r="D5" s="135">
        <v>15180000</v>
      </c>
      <c r="E5" s="136">
        <f t="shared" si="1"/>
        <v>26109.599999999999</v>
      </c>
      <c r="F5" s="135"/>
      <c r="G5" s="139"/>
      <c r="H5" s="138"/>
      <c r="I5" s="136">
        <v>21490</v>
      </c>
      <c r="J5" s="135">
        <v>189117218</v>
      </c>
      <c r="K5" s="136">
        <f t="shared" si="0"/>
        <v>325281.61495999998</v>
      </c>
      <c r="L5" s="135"/>
      <c r="M5" s="136"/>
    </row>
    <row r="6" spans="2:13" x14ac:dyDescent="0.2">
      <c r="B6" s="146"/>
      <c r="C6" s="132" t="s">
        <v>291</v>
      </c>
      <c r="D6" s="135">
        <v>118747960</v>
      </c>
      <c r="E6" s="136">
        <f t="shared" si="1"/>
        <v>204246.49119999999</v>
      </c>
      <c r="F6" s="135">
        <v>16494597</v>
      </c>
      <c r="G6" s="136">
        <f t="shared" si="1"/>
        <v>28370.706839999999</v>
      </c>
      <c r="H6" s="138"/>
      <c r="I6" s="136">
        <v>190366</v>
      </c>
      <c r="J6" s="135">
        <v>137533800</v>
      </c>
      <c r="K6" s="136">
        <f t="shared" si="0"/>
        <v>236558.136</v>
      </c>
      <c r="L6" s="135">
        <v>163074695</v>
      </c>
      <c r="M6" s="136">
        <f t="shared" ref="M6" si="3">L6*0.00172</f>
        <v>280488.4754</v>
      </c>
    </row>
    <row r="7" spans="2:13" x14ac:dyDescent="0.2">
      <c r="B7" s="145" t="s">
        <v>292</v>
      </c>
      <c r="C7" s="132" t="s">
        <v>8</v>
      </c>
      <c r="D7" s="135"/>
      <c r="E7" s="136"/>
      <c r="F7" s="135"/>
      <c r="G7" s="139"/>
      <c r="H7" s="138"/>
      <c r="I7" s="136">
        <v>0</v>
      </c>
      <c r="J7" s="135"/>
      <c r="K7" s="136">
        <f t="shared" si="0"/>
        <v>0</v>
      </c>
      <c r="L7" s="135"/>
      <c r="M7" s="136"/>
    </row>
    <row r="8" spans="2:13" x14ac:dyDescent="0.2">
      <c r="B8" s="146"/>
      <c r="C8" s="132" t="s">
        <v>291</v>
      </c>
      <c r="D8" s="137">
        <f>15000*17668</f>
        <v>265020000</v>
      </c>
      <c r="E8" s="136">
        <f t="shared" si="1"/>
        <v>455834.39999999997</v>
      </c>
      <c r="F8" s="135">
        <v>173187359</v>
      </c>
      <c r="G8" s="136">
        <f t="shared" si="1"/>
        <v>297882.25747999997</v>
      </c>
      <c r="H8" s="138"/>
      <c r="I8" s="136">
        <v>0</v>
      </c>
      <c r="J8" s="135"/>
      <c r="K8" s="136">
        <f t="shared" si="0"/>
        <v>0</v>
      </c>
      <c r="L8" s="135"/>
      <c r="M8" s="136"/>
    </row>
    <row r="9" spans="2:13" x14ac:dyDescent="0.2">
      <c r="B9" s="145" t="s">
        <v>293</v>
      </c>
      <c r="C9" s="132" t="s">
        <v>8</v>
      </c>
      <c r="D9" s="135"/>
      <c r="E9" s="136"/>
      <c r="F9" s="135"/>
      <c r="G9" s="139"/>
      <c r="H9" s="138"/>
      <c r="I9" s="136"/>
      <c r="J9" s="135"/>
      <c r="K9" s="136">
        <f t="shared" si="0"/>
        <v>0</v>
      </c>
      <c r="L9" s="135"/>
      <c r="M9" s="136"/>
    </row>
    <row r="10" spans="2:13" x14ac:dyDescent="0.2">
      <c r="B10" s="146"/>
      <c r="C10" s="132" t="s">
        <v>291</v>
      </c>
      <c r="D10" s="135">
        <f>5000*17668</f>
        <v>88340000</v>
      </c>
      <c r="E10" s="136">
        <f t="shared" si="1"/>
        <v>151944.79999999999</v>
      </c>
      <c r="F10" s="138"/>
      <c r="G10" s="139"/>
      <c r="H10" s="138"/>
      <c r="I10" s="136"/>
      <c r="J10" s="135"/>
      <c r="K10" s="136">
        <f t="shared" si="0"/>
        <v>0</v>
      </c>
      <c r="L10" s="135"/>
      <c r="M10" s="136"/>
    </row>
    <row r="11" spans="2:13" x14ac:dyDescent="0.2">
      <c r="B11" s="145" t="s">
        <v>294</v>
      </c>
      <c r="C11" s="132" t="s">
        <v>8</v>
      </c>
      <c r="D11" s="135"/>
      <c r="E11" s="136"/>
      <c r="F11" s="138"/>
      <c r="G11" s="139"/>
      <c r="H11" s="138"/>
      <c r="I11" s="136"/>
      <c r="J11" s="135"/>
      <c r="K11" s="136">
        <f t="shared" si="0"/>
        <v>0</v>
      </c>
      <c r="L11" s="135"/>
      <c r="M11" s="136"/>
    </row>
    <row r="12" spans="2:13" x14ac:dyDescent="0.2">
      <c r="B12" s="146"/>
      <c r="C12" s="132" t="s">
        <v>291</v>
      </c>
      <c r="D12" s="135"/>
      <c r="E12" s="136"/>
      <c r="F12" s="138"/>
      <c r="G12" s="139"/>
      <c r="H12" s="138"/>
      <c r="I12" s="136">
        <v>777149</v>
      </c>
      <c r="J12" s="135">
        <v>216188660</v>
      </c>
      <c r="K12" s="136">
        <f t="shared" si="0"/>
        <v>371844.4952</v>
      </c>
      <c r="L12" s="135">
        <v>841831368</v>
      </c>
      <c r="M12" s="136">
        <f t="shared" ref="M12" si="4">L12*0.00172</f>
        <v>1447949.9529599999</v>
      </c>
    </row>
    <row r="13" spans="2:13" ht="16" thickBot="1" x14ac:dyDescent="0.25">
      <c r="B13" s="143" t="s">
        <v>302</v>
      </c>
      <c r="C13" s="144"/>
      <c r="D13" s="140">
        <f t="shared" ref="D13:M13" si="5">SUM(D3:D12)</f>
        <v>537272570</v>
      </c>
      <c r="E13" s="141">
        <f t="shared" si="5"/>
        <v>924108.82040000008</v>
      </c>
      <c r="F13" s="142">
        <f t="shared" si="5"/>
        <v>353601197</v>
      </c>
      <c r="G13" s="141">
        <f t="shared" si="5"/>
        <v>608194.05883999995</v>
      </c>
      <c r="H13" s="140">
        <f t="shared" si="5"/>
        <v>0</v>
      </c>
      <c r="I13" s="141">
        <f t="shared" si="5"/>
        <v>1115656</v>
      </c>
      <c r="J13" s="140">
        <f t="shared" si="5"/>
        <v>667593617</v>
      </c>
      <c r="K13" s="141">
        <f t="shared" si="5"/>
        <v>1148261.0212399999</v>
      </c>
      <c r="L13" s="140">
        <f t="shared" si="5"/>
        <v>1059664957</v>
      </c>
      <c r="M13" s="141">
        <f t="shared" si="5"/>
        <v>1822623.7260399999</v>
      </c>
    </row>
  </sheetData>
  <mergeCells count="6">
    <mergeCell ref="B13:C13"/>
    <mergeCell ref="B3:B4"/>
    <mergeCell ref="B5:B6"/>
    <mergeCell ref="B7:B8"/>
    <mergeCell ref="B9:B10"/>
    <mergeCell ref="B11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63"/>
  <sheetViews>
    <sheetView topLeftCell="A54" workbookViewId="0">
      <selection activeCell="C59" sqref="C59:C63"/>
    </sheetView>
  </sheetViews>
  <sheetFormatPr baseColWidth="10" defaultColWidth="9.1640625" defaultRowHeight="15" x14ac:dyDescent="0.2"/>
  <cols>
    <col min="1" max="1" width="9.1640625" style="1"/>
    <col min="2" max="2" width="28.83203125" style="1" customWidth="1"/>
    <col min="3" max="3" width="28.1640625" style="11" customWidth="1"/>
    <col min="4" max="4" width="27.5" style="11" customWidth="1"/>
    <col min="5" max="5" width="17" style="11" customWidth="1"/>
    <col min="6" max="6" width="23.1640625" style="11" customWidth="1"/>
    <col min="7" max="7" width="28.5" style="11" customWidth="1"/>
    <col min="8" max="8" width="23.33203125" style="11" customWidth="1"/>
    <col min="9" max="9" width="14.5" style="11" hidden="1" customWidth="1"/>
    <col min="10" max="10" width="11.83203125" style="11" hidden="1" customWidth="1"/>
    <col min="11" max="11" width="21.33203125" style="11" customWidth="1"/>
    <col min="12" max="12" width="14.5" style="11" customWidth="1"/>
    <col min="13" max="14" width="14.5" style="11" hidden="1" customWidth="1"/>
    <col min="15" max="15" width="21.6640625" style="1" customWidth="1"/>
    <col min="16" max="16384" width="9.1640625" style="1"/>
  </cols>
  <sheetData>
    <row r="2" spans="2:14" x14ac:dyDescent="0.2">
      <c r="C2" s="151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x14ac:dyDescent="0.2">
      <c r="C3" s="152" t="s">
        <v>1</v>
      </c>
      <c r="D3" s="152"/>
      <c r="E3" s="153" t="s">
        <v>2</v>
      </c>
      <c r="F3" s="154"/>
      <c r="G3" s="153" t="s">
        <v>3</v>
      </c>
      <c r="H3" s="154"/>
      <c r="I3" s="153" t="s">
        <v>4</v>
      </c>
      <c r="J3" s="154"/>
      <c r="K3" s="153" t="s">
        <v>207</v>
      </c>
      <c r="L3" s="154"/>
      <c r="M3" s="153" t="s">
        <v>208</v>
      </c>
      <c r="N3" s="154"/>
    </row>
    <row r="4" spans="2:14" ht="30" x14ac:dyDescent="0.2">
      <c r="B4" s="2" t="s">
        <v>5</v>
      </c>
      <c r="C4" s="3" t="s">
        <v>6</v>
      </c>
      <c r="D4" s="3" t="s">
        <v>209</v>
      </c>
      <c r="E4" s="3" t="s">
        <v>6</v>
      </c>
      <c r="F4" s="3" t="s">
        <v>7</v>
      </c>
      <c r="G4" s="3" t="s">
        <v>6</v>
      </c>
      <c r="H4" s="3" t="s">
        <v>210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</row>
    <row r="5" spans="2:14" ht="150" customHeight="1" x14ac:dyDescent="0.2">
      <c r="B5" s="155" t="s">
        <v>8</v>
      </c>
      <c r="C5" s="4" t="s">
        <v>211</v>
      </c>
      <c r="D5" s="88">
        <v>5762610</v>
      </c>
      <c r="E5" s="157" t="s">
        <v>212</v>
      </c>
      <c r="F5" s="157" t="s">
        <v>213</v>
      </c>
      <c r="G5" s="157" t="s">
        <v>214</v>
      </c>
      <c r="H5" s="149">
        <v>15180000</v>
      </c>
      <c r="I5" s="89"/>
      <c r="J5" s="90"/>
      <c r="K5" s="157" t="s">
        <v>215</v>
      </c>
      <c r="L5" s="157" t="s">
        <v>216</v>
      </c>
      <c r="M5" s="89"/>
      <c r="N5" s="89"/>
    </row>
    <row r="6" spans="2:14" ht="123.75" customHeight="1" x14ac:dyDescent="0.2">
      <c r="B6" s="161"/>
      <c r="C6" s="4" t="s">
        <v>217</v>
      </c>
      <c r="D6" s="88">
        <v>1589000</v>
      </c>
      <c r="E6" s="158"/>
      <c r="F6" s="158"/>
      <c r="G6" s="158"/>
      <c r="H6" s="160"/>
      <c r="I6" s="89"/>
      <c r="J6" s="90"/>
      <c r="K6" s="158"/>
      <c r="L6" s="158"/>
      <c r="M6" s="89"/>
      <c r="N6" s="89"/>
    </row>
    <row r="7" spans="2:14" ht="30" x14ac:dyDescent="0.2">
      <c r="B7" s="161"/>
      <c r="C7" s="4" t="s">
        <v>218</v>
      </c>
      <c r="D7" s="88">
        <v>11086200</v>
      </c>
      <c r="E7" s="159"/>
      <c r="F7" s="159"/>
      <c r="G7" s="159"/>
      <c r="H7" s="150"/>
      <c r="I7" s="89"/>
      <c r="J7" s="89"/>
      <c r="K7" s="159"/>
      <c r="L7" s="159"/>
      <c r="M7" s="89"/>
      <c r="N7" s="89"/>
    </row>
    <row r="8" spans="2:14" ht="150" customHeight="1" x14ac:dyDescent="0.2">
      <c r="B8" s="155" t="s">
        <v>219</v>
      </c>
      <c r="C8" s="4" t="s">
        <v>220</v>
      </c>
      <c r="D8" s="88">
        <v>4868350</v>
      </c>
      <c r="E8" s="157" t="s">
        <v>221</v>
      </c>
      <c r="F8" s="14"/>
      <c r="G8" s="91"/>
      <c r="H8" s="92"/>
      <c r="I8" s="89"/>
      <c r="J8" s="89"/>
      <c r="K8" s="93"/>
      <c r="L8" s="90"/>
      <c r="M8" s="89"/>
      <c r="N8" s="89"/>
    </row>
    <row r="9" spans="2:14" ht="110.25" customHeight="1" x14ac:dyDescent="0.2">
      <c r="B9" s="156"/>
      <c r="C9" s="4" t="s">
        <v>222</v>
      </c>
      <c r="D9" s="88">
        <v>9743300</v>
      </c>
      <c r="E9" s="159"/>
      <c r="F9" s="14"/>
      <c r="G9" s="91"/>
      <c r="H9" s="92"/>
      <c r="I9" s="89"/>
      <c r="J9" s="89"/>
      <c r="K9" s="89"/>
      <c r="L9" s="89"/>
      <c r="M9" s="89"/>
      <c r="N9" s="89"/>
    </row>
    <row r="10" spans="2:14" ht="83.25" customHeight="1" x14ac:dyDescent="0.2">
      <c r="B10" s="155" t="s">
        <v>223</v>
      </c>
      <c r="C10" s="4" t="s">
        <v>220</v>
      </c>
      <c r="D10" s="88">
        <v>2785000</v>
      </c>
      <c r="E10" s="157" t="s">
        <v>221</v>
      </c>
      <c r="F10" s="14"/>
      <c r="G10" s="91"/>
      <c r="H10" s="92"/>
      <c r="I10" s="89"/>
      <c r="J10" s="89"/>
      <c r="K10" s="89"/>
      <c r="L10" s="89"/>
      <c r="M10" s="89"/>
      <c r="N10" s="89"/>
    </row>
    <row r="11" spans="2:14" ht="93" customHeight="1" x14ac:dyDescent="0.2">
      <c r="B11" s="156"/>
      <c r="C11" s="4" t="s">
        <v>222</v>
      </c>
      <c r="D11" s="88">
        <v>5841800</v>
      </c>
      <c r="E11" s="159"/>
      <c r="F11" s="14"/>
      <c r="G11" s="91"/>
      <c r="H11" s="92"/>
      <c r="I11" s="89"/>
      <c r="J11" s="89"/>
      <c r="K11" s="89"/>
      <c r="L11" s="89"/>
      <c r="M11" s="89"/>
      <c r="N11" s="89"/>
    </row>
    <row r="12" spans="2:14" ht="91.5" customHeight="1" x14ac:dyDescent="0.2">
      <c r="B12" s="155" t="s">
        <v>224</v>
      </c>
      <c r="C12" s="4" t="s">
        <v>220</v>
      </c>
      <c r="D12" s="88">
        <v>2955350</v>
      </c>
      <c r="E12" s="157" t="s">
        <v>221</v>
      </c>
      <c r="F12" s="14"/>
      <c r="G12" s="91"/>
      <c r="H12" s="92"/>
      <c r="I12" s="89"/>
      <c r="J12" s="89"/>
      <c r="K12" s="89"/>
      <c r="L12" s="89"/>
      <c r="M12" s="89"/>
      <c r="N12" s="89"/>
    </row>
    <row r="13" spans="2:14" ht="96.75" customHeight="1" x14ac:dyDescent="0.2">
      <c r="B13" s="156"/>
      <c r="C13" s="4" t="s">
        <v>222</v>
      </c>
      <c r="D13" s="88">
        <v>5353000</v>
      </c>
      <c r="E13" s="159"/>
      <c r="F13" s="14"/>
      <c r="G13" s="91"/>
      <c r="H13" s="92"/>
      <c r="I13" s="89"/>
      <c r="J13" s="89"/>
      <c r="K13" s="89"/>
      <c r="L13" s="89"/>
      <c r="M13" s="89"/>
      <c r="N13" s="89"/>
    </row>
    <row r="14" spans="2:14" ht="45" x14ac:dyDescent="0.2">
      <c r="B14" s="155" t="s">
        <v>225</v>
      </c>
      <c r="C14" s="94"/>
      <c r="D14" s="95"/>
      <c r="E14" s="89"/>
      <c r="F14" s="89"/>
      <c r="G14" s="4" t="s">
        <v>226</v>
      </c>
      <c r="H14" s="149">
        <v>11611500</v>
      </c>
      <c r="I14" s="89"/>
      <c r="J14" s="89"/>
      <c r="K14" s="89"/>
      <c r="L14" s="89"/>
      <c r="M14" s="89"/>
      <c r="N14" s="89"/>
    </row>
    <row r="15" spans="2:14" ht="45" x14ac:dyDescent="0.2">
      <c r="B15" s="156"/>
      <c r="C15" s="94"/>
      <c r="D15" s="96"/>
      <c r="E15" s="89"/>
      <c r="F15" s="89"/>
      <c r="G15" s="4" t="s">
        <v>222</v>
      </c>
      <c r="H15" s="150"/>
      <c r="I15" s="89"/>
      <c r="J15" s="89"/>
      <c r="K15" s="89"/>
      <c r="L15" s="89"/>
      <c r="M15" s="89"/>
      <c r="N15" s="89"/>
    </row>
    <row r="16" spans="2:14" ht="45" x14ac:dyDescent="0.2">
      <c r="B16" s="155" t="s">
        <v>227</v>
      </c>
      <c r="C16" s="89"/>
      <c r="D16" s="89"/>
      <c r="E16" s="89"/>
      <c r="F16" s="89"/>
      <c r="G16" s="4" t="s">
        <v>226</v>
      </c>
      <c r="H16" s="149">
        <v>6171800</v>
      </c>
      <c r="I16" s="89"/>
      <c r="J16" s="89"/>
      <c r="K16" s="89"/>
      <c r="L16" s="89"/>
      <c r="M16" s="89"/>
      <c r="N16" s="89"/>
    </row>
    <row r="17" spans="2:14" ht="45" x14ac:dyDescent="0.2">
      <c r="B17" s="156"/>
      <c r="C17" s="89"/>
      <c r="D17" s="89"/>
      <c r="E17" s="89"/>
      <c r="F17" s="89"/>
      <c r="G17" s="4" t="s">
        <v>222</v>
      </c>
      <c r="H17" s="150"/>
      <c r="I17" s="89"/>
      <c r="J17" s="89"/>
      <c r="K17" s="89"/>
      <c r="L17" s="89"/>
      <c r="M17" s="89"/>
      <c r="N17" s="89"/>
    </row>
    <row r="18" spans="2:14" ht="45" x14ac:dyDescent="0.2">
      <c r="B18" s="155" t="s">
        <v>228</v>
      </c>
      <c r="C18" s="89"/>
      <c r="D18" s="89"/>
      <c r="E18" s="89"/>
      <c r="F18" s="89"/>
      <c r="G18" s="4" t="s">
        <v>226</v>
      </c>
      <c r="H18" s="149">
        <v>21864600</v>
      </c>
      <c r="I18" s="89"/>
      <c r="J18" s="89"/>
      <c r="K18" s="89"/>
      <c r="L18" s="89"/>
      <c r="M18" s="89"/>
      <c r="N18" s="89"/>
    </row>
    <row r="19" spans="2:14" ht="45" x14ac:dyDescent="0.2">
      <c r="B19" s="156"/>
      <c r="C19" s="89"/>
      <c r="D19" s="89"/>
      <c r="E19" s="89"/>
      <c r="F19" s="89"/>
      <c r="G19" s="4" t="s">
        <v>222</v>
      </c>
      <c r="H19" s="150"/>
      <c r="I19" s="89"/>
      <c r="J19" s="89"/>
      <c r="K19" s="89"/>
      <c r="L19" s="89"/>
      <c r="M19" s="89"/>
      <c r="N19" s="89"/>
    </row>
    <row r="20" spans="2:14" ht="45" x14ac:dyDescent="0.2">
      <c r="B20" s="155" t="s">
        <v>229</v>
      </c>
      <c r="C20" s="89"/>
      <c r="D20" s="89"/>
      <c r="E20" s="89"/>
      <c r="F20" s="89"/>
      <c r="G20" s="4" t="s">
        <v>226</v>
      </c>
      <c r="H20" s="149">
        <v>11685200</v>
      </c>
      <c r="I20" s="89"/>
      <c r="J20" s="89"/>
      <c r="K20" s="89"/>
      <c r="L20" s="89"/>
      <c r="M20" s="89"/>
      <c r="N20" s="89"/>
    </row>
    <row r="21" spans="2:14" ht="45" x14ac:dyDescent="0.2">
      <c r="B21" s="156"/>
      <c r="C21" s="89"/>
      <c r="D21" s="89"/>
      <c r="E21" s="89"/>
      <c r="F21" s="89"/>
      <c r="G21" s="4" t="s">
        <v>222</v>
      </c>
      <c r="H21" s="150"/>
      <c r="I21" s="89"/>
      <c r="J21" s="89"/>
      <c r="K21" s="89"/>
      <c r="L21" s="89"/>
      <c r="M21" s="89"/>
      <c r="N21" s="89"/>
    </row>
    <row r="22" spans="2:14" ht="45" x14ac:dyDescent="0.2">
      <c r="B22" s="155" t="s">
        <v>230</v>
      </c>
      <c r="C22" s="89"/>
      <c r="D22" s="89"/>
      <c r="E22" s="89"/>
      <c r="F22" s="89"/>
      <c r="G22" s="4" t="s">
        <v>226</v>
      </c>
      <c r="H22" s="149">
        <v>11693875</v>
      </c>
      <c r="I22" s="89"/>
      <c r="J22" s="89"/>
      <c r="K22" s="89"/>
      <c r="L22" s="89"/>
      <c r="M22" s="89"/>
      <c r="N22" s="89"/>
    </row>
    <row r="23" spans="2:14" ht="45" x14ac:dyDescent="0.2">
      <c r="B23" s="156"/>
      <c r="C23" s="89"/>
      <c r="D23" s="89"/>
      <c r="E23" s="89"/>
      <c r="F23" s="89"/>
      <c r="G23" s="4" t="s">
        <v>222</v>
      </c>
      <c r="H23" s="150"/>
      <c r="I23" s="89"/>
      <c r="J23" s="89"/>
      <c r="K23" s="89"/>
      <c r="L23" s="89"/>
      <c r="M23" s="89"/>
      <c r="N23" s="89"/>
    </row>
    <row r="24" spans="2:14" ht="45" x14ac:dyDescent="0.2">
      <c r="B24" s="147" t="s">
        <v>231</v>
      </c>
      <c r="C24" s="89"/>
      <c r="D24" s="89"/>
      <c r="E24" s="89"/>
      <c r="F24" s="89"/>
      <c r="G24" s="4" t="s">
        <v>226</v>
      </c>
      <c r="H24" s="149">
        <v>11336250</v>
      </c>
      <c r="I24" s="89"/>
      <c r="J24" s="89"/>
      <c r="K24" s="89"/>
      <c r="L24" s="89"/>
      <c r="M24" s="89"/>
      <c r="N24" s="89"/>
    </row>
    <row r="25" spans="2:14" ht="45" x14ac:dyDescent="0.2">
      <c r="B25" s="148"/>
      <c r="C25" s="89"/>
      <c r="D25" s="89"/>
      <c r="E25" s="89"/>
      <c r="F25" s="89"/>
      <c r="G25" s="4" t="s">
        <v>222</v>
      </c>
      <c r="H25" s="150"/>
      <c r="I25" s="89"/>
      <c r="J25" s="89"/>
      <c r="K25" s="89"/>
      <c r="L25" s="89"/>
      <c r="M25" s="89"/>
      <c r="N25" s="89"/>
    </row>
    <row r="26" spans="2:14" ht="45" x14ac:dyDescent="0.2">
      <c r="B26" s="147" t="s">
        <v>232</v>
      </c>
      <c r="C26" s="89"/>
      <c r="D26" s="89"/>
      <c r="E26" s="89"/>
      <c r="F26" s="89"/>
      <c r="G26" s="4" t="s">
        <v>226</v>
      </c>
      <c r="H26" s="149">
        <v>17981385</v>
      </c>
      <c r="I26" s="89"/>
      <c r="J26" s="89"/>
      <c r="K26" s="89"/>
      <c r="L26" s="89"/>
      <c r="M26" s="89"/>
      <c r="N26" s="89"/>
    </row>
    <row r="27" spans="2:14" ht="45" x14ac:dyDescent="0.2">
      <c r="B27" s="148"/>
      <c r="C27" s="89"/>
      <c r="D27" s="89"/>
      <c r="E27" s="89"/>
      <c r="F27" s="89"/>
      <c r="G27" s="4" t="s">
        <v>222</v>
      </c>
      <c r="H27" s="150"/>
      <c r="I27" s="89"/>
      <c r="J27" s="89"/>
      <c r="K27" s="89"/>
      <c r="L27" s="89"/>
      <c r="M27" s="89"/>
      <c r="N27" s="89"/>
    </row>
    <row r="28" spans="2:14" ht="45" x14ac:dyDescent="0.2">
      <c r="B28" s="147" t="s">
        <v>233</v>
      </c>
      <c r="C28" s="89"/>
      <c r="D28" s="89"/>
      <c r="E28" s="89"/>
      <c r="F28" s="89"/>
      <c r="G28" s="4" t="s">
        <v>226</v>
      </c>
      <c r="H28" s="149">
        <v>11047500</v>
      </c>
      <c r="I28" s="89"/>
      <c r="J28" s="89"/>
      <c r="K28" s="89"/>
      <c r="L28" s="89"/>
      <c r="M28" s="89"/>
      <c r="N28" s="89"/>
    </row>
    <row r="29" spans="2:14" ht="45" x14ac:dyDescent="0.2">
      <c r="B29" s="148"/>
      <c r="C29" s="89"/>
      <c r="D29" s="89"/>
      <c r="E29" s="89"/>
      <c r="F29" s="89"/>
      <c r="G29" s="4" t="s">
        <v>222</v>
      </c>
      <c r="H29" s="150"/>
      <c r="I29" s="89"/>
      <c r="J29" s="89"/>
      <c r="K29" s="89"/>
      <c r="L29" s="89"/>
      <c r="M29" s="89"/>
      <c r="N29" s="89"/>
    </row>
    <row r="30" spans="2:14" ht="45" x14ac:dyDescent="0.2">
      <c r="B30" s="147" t="s">
        <v>234</v>
      </c>
      <c r="C30" s="89"/>
      <c r="D30" s="89"/>
      <c r="E30" s="89"/>
      <c r="F30" s="89"/>
      <c r="G30" s="4" t="s">
        <v>226</v>
      </c>
      <c r="H30" s="149">
        <v>7355050</v>
      </c>
      <c r="I30" s="89"/>
      <c r="J30" s="89"/>
      <c r="K30" s="89"/>
      <c r="L30" s="89"/>
      <c r="M30" s="89"/>
      <c r="N30" s="89"/>
    </row>
    <row r="31" spans="2:14" ht="45" x14ac:dyDescent="0.2">
      <c r="B31" s="148"/>
      <c r="C31" s="89"/>
      <c r="D31" s="89"/>
      <c r="E31" s="89"/>
      <c r="F31" s="89"/>
      <c r="G31" s="4" t="s">
        <v>222</v>
      </c>
      <c r="H31" s="150"/>
      <c r="I31" s="89"/>
      <c r="J31" s="89"/>
      <c r="K31" s="89"/>
      <c r="L31" s="89"/>
      <c r="M31" s="89"/>
      <c r="N31" s="89"/>
    </row>
    <row r="32" spans="2:14" ht="45" x14ac:dyDescent="0.2">
      <c r="B32" s="147" t="s">
        <v>235</v>
      </c>
      <c r="C32" s="89"/>
      <c r="D32" s="89"/>
      <c r="E32" s="89"/>
      <c r="F32" s="89"/>
      <c r="G32" s="4" t="s">
        <v>226</v>
      </c>
      <c r="H32" s="149">
        <v>8000800</v>
      </c>
      <c r="I32" s="89"/>
      <c r="J32" s="89"/>
      <c r="K32" s="89"/>
      <c r="L32" s="89"/>
      <c r="M32" s="89"/>
      <c r="N32" s="89"/>
    </row>
    <row r="33" spans="2:15" ht="45" x14ac:dyDescent="0.2">
      <c r="B33" s="148"/>
      <c r="C33" s="89"/>
      <c r="D33" s="89"/>
      <c r="E33" s="89"/>
      <c r="F33" s="89"/>
      <c r="G33" s="4" t="s">
        <v>222</v>
      </c>
      <c r="H33" s="150"/>
      <c r="I33" s="89"/>
      <c r="J33" s="89"/>
      <c r="K33" s="89"/>
      <c r="L33" s="89"/>
      <c r="M33" s="89"/>
      <c r="N33" s="89"/>
    </row>
    <row r="34" spans="2:15" x14ac:dyDescent="0.2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5" ht="21" x14ac:dyDescent="0.25">
      <c r="B35" s="9"/>
      <c r="C35" s="10">
        <v>570</v>
      </c>
      <c r="D35" s="97">
        <f>D5+D6+D9+D10+D7+D8+D11+D12+D13</f>
        <v>49984610</v>
      </c>
      <c r="E35" s="98"/>
      <c r="F35" s="97">
        <f>15000*17668</f>
        <v>265020000</v>
      </c>
      <c r="G35" s="98"/>
      <c r="H35" s="97">
        <f>H5+H14+H16+H18+H20+H22+H24+H26+H28+H30+H32</f>
        <v>133927960</v>
      </c>
      <c r="I35" s="98"/>
      <c r="J35" s="98"/>
      <c r="K35" s="97">
        <f>5000*17668</f>
        <v>88340000</v>
      </c>
      <c r="L35" s="98"/>
      <c r="M35" s="10"/>
      <c r="N35" s="10"/>
      <c r="O35" s="99">
        <f>D35+F35+H35+K35</f>
        <v>537272570</v>
      </c>
    </row>
    <row r="36" spans="2:15" x14ac:dyDescent="0.2">
      <c r="B36" s="9"/>
      <c r="D36" s="100">
        <f>+D35/C35</f>
        <v>87692.298245614031</v>
      </c>
    </row>
    <row r="37" spans="2:15" hidden="1" x14ac:dyDescent="0.2">
      <c r="B37" s="9"/>
      <c r="C37" s="151" t="s">
        <v>0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2:15" hidden="1" x14ac:dyDescent="0.2">
      <c r="B38" s="9"/>
      <c r="C38" s="152" t="s">
        <v>1</v>
      </c>
      <c r="D38" s="152"/>
      <c r="E38" s="153" t="s">
        <v>2</v>
      </c>
      <c r="F38" s="154"/>
      <c r="G38" s="153" t="s">
        <v>3</v>
      </c>
      <c r="H38" s="154"/>
      <c r="I38" s="153" t="s">
        <v>3</v>
      </c>
      <c r="J38" s="154"/>
      <c r="K38" s="153" t="s">
        <v>236</v>
      </c>
      <c r="L38" s="154"/>
      <c r="M38" s="153" t="s">
        <v>236</v>
      </c>
      <c r="N38" s="154"/>
    </row>
    <row r="39" spans="2:15" ht="30" hidden="1" x14ac:dyDescent="0.2">
      <c r="B39" s="12" t="s">
        <v>24</v>
      </c>
      <c r="C39" s="3" t="s">
        <v>6</v>
      </c>
      <c r="D39" s="3" t="s">
        <v>7</v>
      </c>
      <c r="E39" s="3" t="s">
        <v>6</v>
      </c>
      <c r="F39" s="3" t="s">
        <v>7</v>
      </c>
      <c r="G39" s="3" t="s">
        <v>6</v>
      </c>
      <c r="H39" s="3" t="s">
        <v>7</v>
      </c>
      <c r="I39" s="3" t="s">
        <v>6</v>
      </c>
      <c r="J39" s="3" t="s">
        <v>7</v>
      </c>
      <c r="K39" s="3" t="s">
        <v>6</v>
      </c>
      <c r="L39" s="3" t="s">
        <v>7</v>
      </c>
      <c r="M39" s="3" t="s">
        <v>6</v>
      </c>
      <c r="N39" s="3" t="s">
        <v>7</v>
      </c>
    </row>
    <row r="40" spans="2:15" hidden="1" x14ac:dyDescent="0.2">
      <c r="B40" s="13" t="s">
        <v>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5" hidden="1" x14ac:dyDescent="0.2">
      <c r="B41" s="13" t="s">
        <v>25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5" hidden="1" x14ac:dyDescent="0.2">
      <c r="B42" s="13" t="s">
        <v>26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5" hidden="1" x14ac:dyDescent="0.2">
      <c r="B43" s="13" t="s">
        <v>27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5" hidden="1" x14ac:dyDescent="0.2">
      <c r="B44" s="13" t="s">
        <v>28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5" hidden="1" x14ac:dyDescent="0.2">
      <c r="B45" s="13" t="s">
        <v>29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5" hidden="1" x14ac:dyDescent="0.2">
      <c r="B46" s="13" t="s">
        <v>30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5" hidden="1" x14ac:dyDescent="0.2">
      <c r="B47" s="13" t="s">
        <v>31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5" hidden="1" x14ac:dyDescent="0.2">
      <c r="B48" s="13" t="s">
        <v>32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5" hidden="1" x14ac:dyDescent="0.2">
      <c r="B49" s="13" t="s">
        <v>33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5" hidden="1" x14ac:dyDescent="0.2">
      <c r="B50" s="13" t="s">
        <v>34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5" hidden="1" x14ac:dyDescent="0.2">
      <c r="B51" s="13" t="s">
        <v>35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5" hidden="1" x14ac:dyDescent="0.2">
      <c r="B52" s="13" t="s">
        <v>36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5" hidden="1" x14ac:dyDescent="0.2">
      <c r="B53" s="13" t="s">
        <v>37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5" spans="2:15" ht="21" x14ac:dyDescent="0.2">
      <c r="D55" s="101">
        <f>+D35/$O$35</f>
        <v>9.3033988316209779E-2</v>
      </c>
      <c r="F55" s="101">
        <f>+F35/$O$35</f>
        <v>0.49326917992481917</v>
      </c>
      <c r="H55" s="101">
        <f>+H35/$O$35</f>
        <v>0.24927377178403134</v>
      </c>
      <c r="K55" s="101">
        <f>+K35/$O$35</f>
        <v>0.16442305997493972</v>
      </c>
      <c r="O55" s="101">
        <f>+O35/$O$35</f>
        <v>1</v>
      </c>
    </row>
    <row r="57" spans="2:15" ht="16" thickBot="1" x14ac:dyDescent="0.25"/>
    <row r="58" spans="2:15" ht="22" thickBot="1" x14ac:dyDescent="0.25">
      <c r="B58" s="83" t="s">
        <v>195</v>
      </c>
      <c r="C58" s="84" t="s">
        <v>196</v>
      </c>
      <c r="D58" s="84" t="s">
        <v>197</v>
      </c>
      <c r="O58" s="102"/>
    </row>
    <row r="59" spans="2:15" ht="31" thickBot="1" x14ac:dyDescent="0.25">
      <c r="B59" s="85" t="s">
        <v>237</v>
      </c>
      <c r="C59" s="86" t="s">
        <v>238</v>
      </c>
      <c r="D59" s="87">
        <v>0.49</v>
      </c>
    </row>
    <row r="60" spans="2:15" ht="46" thickBot="1" x14ac:dyDescent="0.25">
      <c r="B60" s="85" t="s">
        <v>239</v>
      </c>
      <c r="C60" s="86" t="s">
        <v>240</v>
      </c>
      <c r="D60" s="87">
        <v>0.16</v>
      </c>
    </row>
    <row r="61" spans="2:15" ht="16" thickBot="1" x14ac:dyDescent="0.25">
      <c r="B61" s="85" t="s">
        <v>3</v>
      </c>
      <c r="C61" s="86" t="s">
        <v>241</v>
      </c>
      <c r="D61" s="87">
        <v>0.25</v>
      </c>
    </row>
    <row r="62" spans="2:15" ht="16" thickBot="1" x14ac:dyDescent="0.25">
      <c r="B62" s="85" t="s">
        <v>242</v>
      </c>
      <c r="C62" s="86" t="s">
        <v>243</v>
      </c>
      <c r="D62" s="87">
        <v>0.12</v>
      </c>
    </row>
    <row r="63" spans="2:15" ht="16" thickBot="1" x14ac:dyDescent="0.25">
      <c r="B63" s="85" t="s">
        <v>244</v>
      </c>
      <c r="C63" s="86" t="s">
        <v>245</v>
      </c>
      <c r="D63" s="86"/>
    </row>
  </sheetData>
  <mergeCells count="47">
    <mergeCell ref="C2:N2"/>
    <mergeCell ref="C3:D3"/>
    <mergeCell ref="E3:F3"/>
    <mergeCell ref="G3:H3"/>
    <mergeCell ref="I3:J3"/>
    <mergeCell ref="K3:L3"/>
    <mergeCell ref="M3:N3"/>
    <mergeCell ref="B12:B13"/>
    <mergeCell ref="E12:E13"/>
    <mergeCell ref="B5:B7"/>
    <mergeCell ref="E5:E7"/>
    <mergeCell ref="F5:F7"/>
    <mergeCell ref="L5:L7"/>
    <mergeCell ref="B8:B9"/>
    <mergeCell ref="E8:E9"/>
    <mergeCell ref="B10:B11"/>
    <mergeCell ref="E10:E11"/>
    <mergeCell ref="G5:G7"/>
    <mergeCell ref="H5:H7"/>
    <mergeCell ref="K5:K7"/>
    <mergeCell ref="B14:B15"/>
    <mergeCell ref="H14:H15"/>
    <mergeCell ref="B16:B17"/>
    <mergeCell ref="H16:H17"/>
    <mergeCell ref="B18:B19"/>
    <mergeCell ref="H18:H19"/>
    <mergeCell ref="B20:B21"/>
    <mergeCell ref="H20:H21"/>
    <mergeCell ref="B22:B23"/>
    <mergeCell ref="H22:H23"/>
    <mergeCell ref="B24:B25"/>
    <mergeCell ref="H24:H25"/>
    <mergeCell ref="B26:B27"/>
    <mergeCell ref="H26:H27"/>
    <mergeCell ref="B28:B29"/>
    <mergeCell ref="H28:H29"/>
    <mergeCell ref="B30:B31"/>
    <mergeCell ref="H30:H31"/>
    <mergeCell ref="B32:B33"/>
    <mergeCell ref="H32:H33"/>
    <mergeCell ref="C37:N37"/>
    <mergeCell ref="C38:D38"/>
    <mergeCell ref="E38:F38"/>
    <mergeCell ref="G38:H38"/>
    <mergeCell ref="I38:J38"/>
    <mergeCell ref="K38:L38"/>
    <mergeCell ref="M38:N38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79" workbookViewId="0">
      <selection activeCell="C104" sqref="C104:C107"/>
    </sheetView>
  </sheetViews>
  <sheetFormatPr baseColWidth="10" defaultColWidth="11.5" defaultRowHeight="15" x14ac:dyDescent="0.2"/>
  <cols>
    <col min="1" max="1" width="5.5" style="16" customWidth="1"/>
    <col min="2" max="2" width="34.6640625" style="69" bestFit="1" customWidth="1"/>
    <col min="3" max="3" width="11.5" bestFit="1" customWidth="1"/>
    <col min="4" max="4" width="13.1640625" style="18" bestFit="1" customWidth="1"/>
    <col min="5" max="5" width="8.1640625" style="18" bestFit="1" customWidth="1"/>
    <col min="6" max="6" width="16" style="18" bestFit="1" customWidth="1"/>
    <col min="7" max="7" width="14.83203125" bestFit="1" customWidth="1"/>
    <col min="8" max="8" width="16" bestFit="1" customWidth="1"/>
    <col min="9" max="10" width="14.83203125" bestFit="1" customWidth="1"/>
    <col min="11" max="11" width="13.83203125" customWidth="1"/>
  </cols>
  <sheetData>
    <row r="1" spans="1:10" x14ac:dyDescent="0.2">
      <c r="B1" s="17" t="s">
        <v>41</v>
      </c>
    </row>
    <row r="2" spans="1:10" ht="39" customHeight="1" x14ac:dyDescent="0.2">
      <c r="B2" s="19" t="s">
        <v>42</v>
      </c>
      <c r="C2" s="20" t="s">
        <v>43</v>
      </c>
      <c r="D2" s="21" t="s">
        <v>44</v>
      </c>
      <c r="E2" s="21" t="s">
        <v>45</v>
      </c>
      <c r="F2" s="163" t="s">
        <v>23</v>
      </c>
      <c r="G2" s="165" t="s">
        <v>46</v>
      </c>
      <c r="H2" s="166"/>
      <c r="I2" s="166"/>
    </row>
    <row r="3" spans="1:10" x14ac:dyDescent="0.2">
      <c r="B3" s="22"/>
      <c r="C3" s="23"/>
      <c r="D3" s="24"/>
      <c r="E3" s="24"/>
      <c r="F3" s="164"/>
      <c r="G3" s="25" t="s">
        <v>47</v>
      </c>
      <c r="H3" s="26" t="s">
        <v>3</v>
      </c>
      <c r="I3" s="26" t="s">
        <v>48</v>
      </c>
      <c r="J3" s="26" t="s">
        <v>49</v>
      </c>
    </row>
    <row r="4" spans="1:10" x14ac:dyDescent="0.2">
      <c r="A4" s="27">
        <v>1</v>
      </c>
      <c r="B4" s="162" t="s">
        <v>50</v>
      </c>
      <c r="C4" s="162"/>
      <c r="D4" s="162"/>
      <c r="E4" s="162"/>
      <c r="F4" s="162"/>
      <c r="G4" s="162"/>
      <c r="H4" s="162"/>
      <c r="I4" s="162"/>
    </row>
    <row r="5" spans="1:10" x14ac:dyDescent="0.2">
      <c r="A5" s="28" t="s">
        <v>51</v>
      </c>
      <c r="B5" s="29" t="s">
        <v>52</v>
      </c>
      <c r="C5" s="30">
        <v>15332</v>
      </c>
      <c r="D5" s="31">
        <v>2000</v>
      </c>
      <c r="E5" s="31">
        <v>4</v>
      </c>
      <c r="F5" s="31">
        <f>+C5*D5*E5</f>
        <v>122656000</v>
      </c>
      <c r="G5" s="31">
        <v>13880000</v>
      </c>
      <c r="H5" s="31">
        <v>82864000</v>
      </c>
      <c r="I5" s="31">
        <v>25912000</v>
      </c>
      <c r="J5" s="31"/>
    </row>
    <row r="6" spans="1:10" x14ac:dyDescent="0.2">
      <c r="A6" s="28" t="s">
        <v>53</v>
      </c>
      <c r="B6" s="29" t="s">
        <v>54</v>
      </c>
      <c r="C6" s="30">
        <v>1535</v>
      </c>
      <c r="D6" s="31">
        <v>3000</v>
      </c>
      <c r="E6" s="31">
        <v>4</v>
      </c>
      <c r="F6" s="31">
        <f t="shared" ref="F6:F25" si="0">+C6*D6*E6</f>
        <v>18420000</v>
      </c>
      <c r="G6" s="31">
        <v>456000</v>
      </c>
      <c r="H6" s="31">
        <v>13584000</v>
      </c>
      <c r="I6" s="31">
        <v>4380000</v>
      </c>
      <c r="J6" s="31"/>
    </row>
    <row r="7" spans="1:10" x14ac:dyDescent="0.2">
      <c r="A7" s="28" t="s">
        <v>55</v>
      </c>
      <c r="B7" s="29" t="s">
        <v>56</v>
      </c>
      <c r="C7" s="30">
        <v>246</v>
      </c>
      <c r="D7" s="31">
        <v>3000</v>
      </c>
      <c r="E7" s="31">
        <v>5</v>
      </c>
      <c r="F7" s="31">
        <f t="shared" si="0"/>
        <v>3690000</v>
      </c>
      <c r="G7" s="31">
        <v>1095000</v>
      </c>
      <c r="H7" s="31">
        <v>1305000</v>
      </c>
      <c r="I7" s="31">
        <v>1290000</v>
      </c>
      <c r="J7" s="31"/>
    </row>
    <row r="8" spans="1:10" x14ac:dyDescent="0.2">
      <c r="A8" s="28" t="s">
        <v>57</v>
      </c>
      <c r="B8" s="32" t="s">
        <v>58</v>
      </c>
      <c r="C8" s="30">
        <v>57</v>
      </c>
      <c r="D8" s="31">
        <v>10000</v>
      </c>
      <c r="E8" s="31">
        <v>1</v>
      </c>
      <c r="F8" s="31">
        <f t="shared" si="0"/>
        <v>570000</v>
      </c>
      <c r="G8" s="31">
        <v>170000</v>
      </c>
      <c r="H8" s="31">
        <v>200000</v>
      </c>
      <c r="I8" s="31">
        <v>200000</v>
      </c>
      <c r="J8" s="31"/>
    </row>
    <row r="9" spans="1:10" x14ac:dyDescent="0.2">
      <c r="A9" s="28" t="s">
        <v>59</v>
      </c>
      <c r="B9" s="33" t="s">
        <v>60</v>
      </c>
      <c r="C9" s="30">
        <v>57</v>
      </c>
      <c r="D9" s="31">
        <v>3000</v>
      </c>
      <c r="E9" s="31">
        <v>5</v>
      </c>
      <c r="F9" s="31">
        <f t="shared" si="0"/>
        <v>855000</v>
      </c>
      <c r="G9" s="31">
        <v>255000</v>
      </c>
      <c r="H9" s="31">
        <v>300000</v>
      </c>
      <c r="I9" s="31">
        <v>300000</v>
      </c>
      <c r="J9" s="31"/>
    </row>
    <row r="10" spans="1:10" x14ac:dyDescent="0.2">
      <c r="A10" s="28" t="s">
        <v>61</v>
      </c>
      <c r="B10" s="29" t="s">
        <v>62</v>
      </c>
      <c r="C10" s="30">
        <v>75</v>
      </c>
      <c r="D10" s="31">
        <v>3000</v>
      </c>
      <c r="E10" s="31">
        <v>5</v>
      </c>
      <c r="F10" s="31">
        <f t="shared" si="0"/>
        <v>1125000</v>
      </c>
      <c r="G10" s="31">
        <v>435000</v>
      </c>
      <c r="H10" s="31">
        <v>300000</v>
      </c>
      <c r="I10" s="31">
        <v>390000</v>
      </c>
      <c r="J10" s="31"/>
    </row>
    <row r="11" spans="1:10" x14ac:dyDescent="0.2">
      <c r="A11" s="34"/>
      <c r="B11" s="35" t="s">
        <v>63</v>
      </c>
      <c r="C11" s="30"/>
      <c r="D11" s="31"/>
      <c r="E11" s="31"/>
      <c r="F11" s="36">
        <f>SUM(F5:F10)</f>
        <v>147316000</v>
      </c>
      <c r="G11" s="36">
        <v>16291000</v>
      </c>
      <c r="H11" s="36">
        <v>98553000</v>
      </c>
      <c r="I11" s="36">
        <v>32472000</v>
      </c>
      <c r="J11" s="36"/>
    </row>
    <row r="12" spans="1:10" x14ac:dyDescent="0.2">
      <c r="A12" s="37">
        <v>2</v>
      </c>
      <c r="B12" s="162" t="s">
        <v>64</v>
      </c>
      <c r="C12" s="162"/>
      <c r="D12" s="162"/>
      <c r="E12" s="162"/>
      <c r="F12" s="162"/>
      <c r="G12" s="162"/>
      <c r="H12" s="162"/>
      <c r="I12" s="162"/>
    </row>
    <row r="13" spans="1:10" x14ac:dyDescent="0.2">
      <c r="A13" s="28" t="s">
        <v>65</v>
      </c>
      <c r="B13" s="29" t="s">
        <v>52</v>
      </c>
      <c r="C13" s="38">
        <v>0</v>
      </c>
      <c r="D13" s="31">
        <v>1000</v>
      </c>
      <c r="E13" s="31">
        <v>1</v>
      </c>
      <c r="F13" s="31">
        <f t="shared" si="0"/>
        <v>0</v>
      </c>
      <c r="G13" s="31">
        <v>0</v>
      </c>
      <c r="H13" s="31">
        <v>0</v>
      </c>
      <c r="I13" s="31">
        <v>0</v>
      </c>
      <c r="J13" s="31"/>
    </row>
    <row r="14" spans="1:10" x14ac:dyDescent="0.2">
      <c r="A14" s="28" t="s">
        <v>66</v>
      </c>
      <c r="B14" s="29" t="s">
        <v>67</v>
      </c>
      <c r="C14" s="38">
        <v>1535</v>
      </c>
      <c r="D14" s="31">
        <v>1000</v>
      </c>
      <c r="E14" s="31">
        <v>1</v>
      </c>
      <c r="F14" s="31">
        <f t="shared" si="0"/>
        <v>1535000</v>
      </c>
      <c r="G14" s="31">
        <v>38000</v>
      </c>
      <c r="H14" s="31">
        <v>1132000</v>
      </c>
      <c r="I14" s="31">
        <v>365000</v>
      </c>
      <c r="J14" s="31"/>
    </row>
    <row r="15" spans="1:10" x14ac:dyDescent="0.2">
      <c r="A15" s="28" t="s">
        <v>68</v>
      </c>
      <c r="B15" s="29" t="s">
        <v>69</v>
      </c>
      <c r="C15" s="38">
        <v>0</v>
      </c>
      <c r="D15" s="31">
        <v>1000</v>
      </c>
      <c r="E15" s="31">
        <v>1</v>
      </c>
      <c r="F15" s="31">
        <f t="shared" si="0"/>
        <v>0</v>
      </c>
      <c r="G15" s="31">
        <v>0</v>
      </c>
      <c r="H15" s="31">
        <v>0</v>
      </c>
      <c r="I15" s="31">
        <v>0</v>
      </c>
      <c r="J15" s="31"/>
    </row>
    <row r="16" spans="1:10" x14ac:dyDescent="0.2">
      <c r="A16" s="39"/>
      <c r="B16" s="35" t="s">
        <v>70</v>
      </c>
      <c r="C16" s="38"/>
      <c r="D16" s="31"/>
      <c r="E16" s="31"/>
      <c r="F16" s="36">
        <f>SUM(F13:F15)</f>
        <v>1535000</v>
      </c>
      <c r="G16" s="36">
        <v>38000</v>
      </c>
      <c r="H16" s="36">
        <v>1132000</v>
      </c>
      <c r="I16" s="36">
        <v>365000</v>
      </c>
      <c r="J16" s="36"/>
    </row>
    <row r="17" spans="1:11" x14ac:dyDescent="0.2">
      <c r="A17" s="37">
        <v>3</v>
      </c>
      <c r="B17" s="162" t="s">
        <v>71</v>
      </c>
      <c r="C17" s="162"/>
      <c r="D17" s="162"/>
      <c r="E17" s="162"/>
      <c r="F17" s="162">
        <f t="shared" si="0"/>
        <v>0</v>
      </c>
      <c r="G17" s="162">
        <v>0</v>
      </c>
      <c r="H17" s="162">
        <v>0</v>
      </c>
      <c r="I17" s="162">
        <v>0</v>
      </c>
    </row>
    <row r="18" spans="1:11" x14ac:dyDescent="0.2">
      <c r="A18" s="28" t="s">
        <v>72</v>
      </c>
      <c r="B18" s="29" t="s">
        <v>69</v>
      </c>
      <c r="C18" s="38">
        <v>1122</v>
      </c>
      <c r="D18" s="31">
        <v>2000</v>
      </c>
      <c r="E18" s="31">
        <v>5</v>
      </c>
      <c r="F18" s="31">
        <f t="shared" si="0"/>
        <v>11220000</v>
      </c>
      <c r="G18" s="31">
        <v>4670000</v>
      </c>
      <c r="H18" s="31">
        <v>5550000</v>
      </c>
      <c r="I18" s="31">
        <v>1000000</v>
      </c>
      <c r="J18" s="31"/>
    </row>
    <row r="19" spans="1:11" x14ac:dyDescent="0.2">
      <c r="A19" s="28" t="s">
        <v>73</v>
      </c>
      <c r="B19" s="29" t="s">
        <v>74</v>
      </c>
      <c r="C19" s="38">
        <v>1122</v>
      </c>
      <c r="D19" s="31">
        <v>2000</v>
      </c>
      <c r="E19" s="31">
        <v>2</v>
      </c>
      <c r="F19" s="31">
        <f t="shared" si="0"/>
        <v>4488000</v>
      </c>
      <c r="G19" s="31">
        <v>1848000</v>
      </c>
      <c r="H19" s="31">
        <v>2220000</v>
      </c>
      <c r="I19" s="31">
        <v>420000</v>
      </c>
      <c r="J19" s="31"/>
    </row>
    <row r="20" spans="1:11" x14ac:dyDescent="0.2">
      <c r="A20" s="28" t="s">
        <v>75</v>
      </c>
      <c r="B20" s="29" t="s">
        <v>76</v>
      </c>
      <c r="C20" s="38">
        <v>57</v>
      </c>
      <c r="D20" s="31">
        <v>50000</v>
      </c>
      <c r="E20" s="31">
        <v>1</v>
      </c>
      <c r="F20" s="31">
        <f t="shared" si="0"/>
        <v>2850000</v>
      </c>
      <c r="G20" s="31">
        <v>850000</v>
      </c>
      <c r="H20" s="31">
        <v>1000000</v>
      </c>
      <c r="I20" s="31">
        <v>1000000</v>
      </c>
      <c r="J20" s="31"/>
    </row>
    <row r="21" spans="1:11" x14ac:dyDescent="0.2">
      <c r="A21" s="34"/>
      <c r="B21" s="35" t="s">
        <v>77</v>
      </c>
      <c r="C21" s="38"/>
      <c r="D21" s="31"/>
      <c r="E21" s="31"/>
      <c r="F21" s="36">
        <f>SUM(F18:F20)</f>
        <v>18558000</v>
      </c>
      <c r="G21" s="36">
        <v>7368000</v>
      </c>
      <c r="H21" s="36">
        <v>8770000</v>
      </c>
      <c r="I21" s="36">
        <v>2420000</v>
      </c>
      <c r="J21" s="36"/>
    </row>
    <row r="22" spans="1:11" x14ac:dyDescent="0.2">
      <c r="A22" s="27">
        <v>4</v>
      </c>
      <c r="B22" s="162" t="s">
        <v>78</v>
      </c>
      <c r="C22" s="162"/>
      <c r="D22" s="162"/>
      <c r="E22" s="162"/>
      <c r="F22" s="162">
        <f t="shared" si="0"/>
        <v>0</v>
      </c>
      <c r="G22" s="162">
        <v>0</v>
      </c>
      <c r="H22" s="162">
        <v>0</v>
      </c>
      <c r="I22" s="162">
        <v>0</v>
      </c>
    </row>
    <row r="23" spans="1:11" ht="26" x14ac:dyDescent="0.2">
      <c r="A23" s="28" t="s">
        <v>79</v>
      </c>
      <c r="B23" s="29" t="s">
        <v>80</v>
      </c>
      <c r="C23" s="38">
        <v>403</v>
      </c>
      <c r="D23" s="31">
        <v>10000</v>
      </c>
      <c r="E23" s="31">
        <v>4</v>
      </c>
      <c r="F23" s="31">
        <f t="shared" si="0"/>
        <v>16120000</v>
      </c>
      <c r="G23" s="31">
        <v>8620000</v>
      </c>
      <c r="H23" s="31">
        <v>5000000</v>
      </c>
      <c r="I23" s="31">
        <v>2500000</v>
      </c>
      <c r="J23" s="31"/>
    </row>
    <row r="24" spans="1:11" x14ac:dyDescent="0.2">
      <c r="A24" s="28" t="s">
        <v>81</v>
      </c>
      <c r="B24" s="29" t="s">
        <v>82</v>
      </c>
      <c r="C24" s="38">
        <v>51</v>
      </c>
      <c r="D24" s="31">
        <v>5000</v>
      </c>
      <c r="E24" s="31">
        <v>4</v>
      </c>
      <c r="F24" s="31">
        <f t="shared" si="0"/>
        <v>1020000</v>
      </c>
      <c r="G24" s="31">
        <v>320000</v>
      </c>
      <c r="H24" s="31">
        <v>700000</v>
      </c>
      <c r="I24" s="31">
        <v>0</v>
      </c>
      <c r="J24" s="31"/>
    </row>
    <row r="25" spans="1:11" x14ac:dyDescent="0.2">
      <c r="A25" s="28" t="s">
        <v>83</v>
      </c>
      <c r="B25" s="29" t="s">
        <v>84</v>
      </c>
      <c r="C25" s="38">
        <v>1</v>
      </c>
      <c r="D25" s="31">
        <v>14183950</v>
      </c>
      <c r="E25" s="31">
        <v>1</v>
      </c>
      <c r="F25" s="31">
        <f t="shared" si="0"/>
        <v>14183950</v>
      </c>
      <c r="G25" s="31">
        <v>5623325</v>
      </c>
      <c r="H25" s="31">
        <v>5503200</v>
      </c>
      <c r="I25" s="31">
        <v>3057425</v>
      </c>
      <c r="J25" s="31"/>
    </row>
    <row r="26" spans="1:11" x14ac:dyDescent="0.2">
      <c r="A26" s="40"/>
      <c r="B26" s="35" t="s">
        <v>85</v>
      </c>
      <c r="C26" s="38"/>
      <c r="D26" s="31"/>
      <c r="E26" s="31"/>
      <c r="F26" s="36">
        <f>SUM(F23:F25)</f>
        <v>31323950</v>
      </c>
      <c r="G26" s="36">
        <v>14563325</v>
      </c>
      <c r="H26" s="36">
        <v>11203200</v>
      </c>
      <c r="I26" s="36">
        <v>5557425</v>
      </c>
      <c r="J26" s="36"/>
    </row>
    <row r="27" spans="1:11" x14ac:dyDescent="0.2">
      <c r="A27" s="41"/>
      <c r="B27" s="42" t="s">
        <v>86</v>
      </c>
      <c r="C27" s="43"/>
      <c r="D27" s="44"/>
      <c r="E27" s="44"/>
      <c r="F27" s="44">
        <f>SUM(F26,F21,F16,F11)</f>
        <v>198732950</v>
      </c>
      <c r="G27" s="44">
        <v>38260325</v>
      </c>
      <c r="H27" s="44">
        <v>119658200</v>
      </c>
      <c r="I27" s="44">
        <v>40814425</v>
      </c>
      <c r="J27" s="44"/>
      <c r="K27" s="45"/>
    </row>
    <row r="28" spans="1:11" x14ac:dyDescent="0.2">
      <c r="A28" s="37">
        <v>5</v>
      </c>
      <c r="B28" s="162" t="s">
        <v>87</v>
      </c>
      <c r="C28" s="162"/>
      <c r="D28" s="162"/>
      <c r="E28" s="162"/>
      <c r="F28" s="162"/>
      <c r="G28" s="162"/>
      <c r="H28" s="162"/>
      <c r="I28" s="162"/>
    </row>
    <row r="29" spans="1:11" x14ac:dyDescent="0.2">
      <c r="A29" s="46" t="s">
        <v>88</v>
      </c>
      <c r="B29" s="47" t="s">
        <v>89</v>
      </c>
      <c r="C29" s="48">
        <v>16865.2</v>
      </c>
      <c r="D29" s="49" t="s">
        <v>206</v>
      </c>
      <c r="E29" s="49">
        <v>1</v>
      </c>
      <c r="F29" s="49">
        <v>39173080.000000007</v>
      </c>
      <c r="G29" s="48">
        <v>14525747.660000008</v>
      </c>
      <c r="H29" s="48">
        <v>12301194.34</v>
      </c>
      <c r="I29" s="49">
        <v>8066950</v>
      </c>
      <c r="J29" s="48">
        <v>4279188</v>
      </c>
    </row>
    <row r="30" spans="1:11" x14ac:dyDescent="0.2">
      <c r="A30" s="46" t="s">
        <v>90</v>
      </c>
      <c r="B30" s="47" t="s">
        <v>91</v>
      </c>
      <c r="C30" s="48">
        <v>4400</v>
      </c>
      <c r="D30" s="49">
        <v>3500</v>
      </c>
      <c r="E30" s="49">
        <v>1</v>
      </c>
      <c r="F30" s="49">
        <v>2800000</v>
      </c>
      <c r="G30" s="48">
        <v>2663500</v>
      </c>
      <c r="H30" s="48">
        <v>0</v>
      </c>
      <c r="I30" s="49">
        <v>0</v>
      </c>
      <c r="J30" s="48">
        <v>0</v>
      </c>
    </row>
    <row r="31" spans="1:11" x14ac:dyDescent="0.2">
      <c r="A31" s="46" t="s">
        <v>92</v>
      </c>
      <c r="B31" s="47" t="s">
        <v>93</v>
      </c>
      <c r="C31" s="48">
        <v>1429</v>
      </c>
      <c r="D31" s="49">
        <v>1500</v>
      </c>
      <c r="E31" s="49">
        <v>1</v>
      </c>
      <c r="F31" s="49">
        <v>2143500</v>
      </c>
      <c r="G31" s="48">
        <v>600000</v>
      </c>
      <c r="H31" s="48">
        <v>0</v>
      </c>
      <c r="I31" s="49">
        <v>1500000</v>
      </c>
      <c r="J31" s="48">
        <v>0</v>
      </c>
    </row>
    <row r="32" spans="1:11" x14ac:dyDescent="0.2">
      <c r="A32" s="46" t="s">
        <v>94</v>
      </c>
      <c r="B32" s="47" t="s">
        <v>95</v>
      </c>
      <c r="C32" s="48">
        <v>7440</v>
      </c>
      <c r="D32" s="49">
        <v>350</v>
      </c>
      <c r="E32" s="49">
        <v>1</v>
      </c>
      <c r="F32" s="49">
        <v>3190000</v>
      </c>
      <c r="G32" s="48">
        <v>2590000</v>
      </c>
      <c r="H32" s="48">
        <v>0</v>
      </c>
      <c r="I32" s="49">
        <v>780000</v>
      </c>
      <c r="J32" s="48">
        <v>0</v>
      </c>
    </row>
    <row r="33" spans="1:10" x14ac:dyDescent="0.2">
      <c r="A33" s="46" t="s">
        <v>96</v>
      </c>
      <c r="B33" s="47" t="s">
        <v>97</v>
      </c>
      <c r="C33" s="48">
        <v>1</v>
      </c>
      <c r="D33" s="49">
        <v>6500000</v>
      </c>
      <c r="E33" s="49">
        <v>1</v>
      </c>
      <c r="F33" s="49">
        <v>6500000</v>
      </c>
      <c r="G33" s="48">
        <v>0</v>
      </c>
      <c r="H33" s="48">
        <v>0</v>
      </c>
      <c r="I33" s="49">
        <v>0</v>
      </c>
      <c r="J33" s="48">
        <v>6500000</v>
      </c>
    </row>
    <row r="34" spans="1:10" x14ac:dyDescent="0.2">
      <c r="A34" s="46" t="s">
        <v>98</v>
      </c>
      <c r="B34" s="47" t="s">
        <v>99</v>
      </c>
      <c r="C34" s="48">
        <v>1</v>
      </c>
      <c r="D34" s="49">
        <v>1885000</v>
      </c>
      <c r="E34" s="49">
        <v>1</v>
      </c>
      <c r="F34" s="49">
        <v>1885000</v>
      </c>
      <c r="G34" s="48">
        <v>1885000</v>
      </c>
      <c r="H34" s="48">
        <v>0</v>
      </c>
      <c r="I34" s="49">
        <v>0</v>
      </c>
      <c r="J34" s="48">
        <v>0</v>
      </c>
    </row>
    <row r="35" spans="1:10" x14ac:dyDescent="0.2">
      <c r="A35" s="46" t="s">
        <v>100</v>
      </c>
      <c r="B35" s="47" t="s">
        <v>101</v>
      </c>
      <c r="C35" s="48">
        <v>2218.65</v>
      </c>
      <c r="D35" s="49">
        <v>1500</v>
      </c>
      <c r="E35" s="49">
        <v>1</v>
      </c>
      <c r="F35" s="49">
        <v>3327975</v>
      </c>
      <c r="G35" s="48">
        <v>3327975</v>
      </c>
      <c r="H35" s="48">
        <v>0</v>
      </c>
      <c r="I35" s="49">
        <v>0</v>
      </c>
      <c r="J35" s="48">
        <v>0</v>
      </c>
    </row>
    <row r="36" spans="1:10" x14ac:dyDescent="0.2">
      <c r="A36" s="46" t="s">
        <v>102</v>
      </c>
      <c r="B36" s="47" t="s">
        <v>103</v>
      </c>
      <c r="C36" s="48">
        <v>74</v>
      </c>
      <c r="D36" s="49">
        <v>15000</v>
      </c>
      <c r="E36" s="49">
        <v>1</v>
      </c>
      <c r="F36" s="49">
        <v>1110000</v>
      </c>
      <c r="G36" s="48">
        <v>1110000</v>
      </c>
      <c r="H36" s="48">
        <v>0</v>
      </c>
      <c r="I36" s="49">
        <v>0</v>
      </c>
      <c r="J36" s="48">
        <v>0</v>
      </c>
    </row>
    <row r="37" spans="1:10" x14ac:dyDescent="0.2">
      <c r="A37" s="46" t="s">
        <v>104</v>
      </c>
      <c r="B37" s="47" t="s">
        <v>105</v>
      </c>
      <c r="C37" s="48">
        <v>1</v>
      </c>
      <c r="D37" s="49">
        <v>1000000</v>
      </c>
      <c r="E37" s="49">
        <v>1</v>
      </c>
      <c r="F37" s="49">
        <v>1000000</v>
      </c>
      <c r="G37" s="48">
        <v>0</v>
      </c>
      <c r="H37" s="48">
        <v>1000000</v>
      </c>
      <c r="I37" s="49">
        <v>0</v>
      </c>
      <c r="J37" s="48">
        <v>0</v>
      </c>
    </row>
    <row r="38" spans="1:10" x14ac:dyDescent="0.2">
      <c r="A38" s="46" t="s">
        <v>106</v>
      </c>
      <c r="B38" s="47" t="s">
        <v>107</v>
      </c>
      <c r="C38" s="48">
        <v>1</v>
      </c>
      <c r="D38" s="49">
        <v>2240000</v>
      </c>
      <c r="E38" s="49">
        <v>1</v>
      </c>
      <c r="F38" s="49">
        <v>2240000</v>
      </c>
      <c r="G38" s="48">
        <v>0</v>
      </c>
      <c r="H38" s="48">
        <v>2240000</v>
      </c>
      <c r="I38" s="49">
        <v>0</v>
      </c>
      <c r="J38" s="48">
        <v>0</v>
      </c>
    </row>
    <row r="39" spans="1:10" x14ac:dyDescent="0.2">
      <c r="A39" s="46" t="s">
        <v>108</v>
      </c>
      <c r="B39" s="47" t="s">
        <v>109</v>
      </c>
      <c r="C39" s="48">
        <v>1</v>
      </c>
      <c r="D39" s="49">
        <v>50000</v>
      </c>
      <c r="E39" s="49">
        <v>1</v>
      </c>
      <c r="F39" s="49">
        <v>50000</v>
      </c>
      <c r="G39" s="48">
        <v>0</v>
      </c>
      <c r="H39" s="48">
        <v>50000</v>
      </c>
      <c r="I39" s="49">
        <v>0</v>
      </c>
      <c r="J39" s="48">
        <v>0</v>
      </c>
    </row>
    <row r="40" spans="1:10" x14ac:dyDescent="0.2">
      <c r="A40" s="46" t="s">
        <v>110</v>
      </c>
      <c r="B40" s="47" t="s">
        <v>111</v>
      </c>
      <c r="C40" s="48">
        <v>57</v>
      </c>
      <c r="D40" s="49">
        <v>1000</v>
      </c>
      <c r="E40" s="49">
        <v>1</v>
      </c>
      <c r="F40" s="49">
        <v>57000</v>
      </c>
      <c r="G40" s="48">
        <v>0</v>
      </c>
      <c r="H40" s="48">
        <v>37000</v>
      </c>
      <c r="I40" s="49">
        <v>20000</v>
      </c>
      <c r="J40" s="48">
        <v>0</v>
      </c>
    </row>
    <row r="41" spans="1:10" ht="16" x14ac:dyDescent="0.2">
      <c r="A41" s="46"/>
      <c r="B41" s="50" t="s">
        <v>112</v>
      </c>
      <c r="C41" s="48"/>
      <c r="D41" s="49"/>
      <c r="E41" s="49"/>
      <c r="F41" s="51">
        <f>SUM(F29:F40)</f>
        <v>63476555.000000007</v>
      </c>
      <c r="G41" s="51">
        <f t="shared" ref="G41:J41" si="1">SUM(G29:G40)</f>
        <v>26702222.660000008</v>
      </c>
      <c r="H41" s="51">
        <f t="shared" si="1"/>
        <v>15628194.34</v>
      </c>
      <c r="I41" s="51">
        <f t="shared" si="1"/>
        <v>10366950</v>
      </c>
      <c r="J41" s="51">
        <f t="shared" si="1"/>
        <v>10779188</v>
      </c>
    </row>
    <row r="42" spans="1:10" x14ac:dyDescent="0.2">
      <c r="A42" s="37">
        <v>6</v>
      </c>
      <c r="B42" s="167" t="s">
        <v>113</v>
      </c>
      <c r="C42" s="167"/>
      <c r="D42" s="167"/>
      <c r="E42" s="167"/>
      <c r="F42" s="167"/>
      <c r="G42" s="167"/>
      <c r="H42" s="167"/>
      <c r="I42" s="167"/>
    </row>
    <row r="43" spans="1:10" x14ac:dyDescent="0.2">
      <c r="A43" s="46" t="s">
        <v>114</v>
      </c>
      <c r="B43" s="47" t="s">
        <v>115</v>
      </c>
      <c r="C43" s="52">
        <v>239827.46</v>
      </c>
      <c r="D43" s="49">
        <v>20</v>
      </c>
      <c r="E43" s="49">
        <v>1</v>
      </c>
      <c r="F43" s="49">
        <f t="shared" ref="F43" si="2">+C43*D43*E43</f>
        <v>4796549.2</v>
      </c>
      <c r="G43" s="53">
        <v>214490</v>
      </c>
      <c r="H43" s="53">
        <v>0</v>
      </c>
      <c r="I43" s="49">
        <v>1366350</v>
      </c>
      <c r="J43" s="49">
        <v>3215709.1999999997</v>
      </c>
    </row>
    <row r="44" spans="1:10" ht="16" x14ac:dyDescent="0.2">
      <c r="A44" s="46"/>
      <c r="B44" s="50" t="s">
        <v>70</v>
      </c>
      <c r="C44" s="53"/>
      <c r="D44" s="49"/>
      <c r="E44" s="49"/>
      <c r="F44" s="51">
        <f>+SUM(F43)</f>
        <v>4796549.2</v>
      </c>
      <c r="G44" s="51">
        <f t="shared" ref="G44:J44" si="3">+SUM(G43)</f>
        <v>214490</v>
      </c>
      <c r="H44" s="51">
        <f t="shared" si="3"/>
        <v>0</v>
      </c>
      <c r="I44" s="51">
        <f t="shared" si="3"/>
        <v>1366350</v>
      </c>
      <c r="J44" s="51">
        <f t="shared" si="3"/>
        <v>3215709.1999999997</v>
      </c>
    </row>
    <row r="45" spans="1:10" x14ac:dyDescent="0.2">
      <c r="A45" s="37">
        <v>7</v>
      </c>
      <c r="B45" s="167" t="s">
        <v>116</v>
      </c>
      <c r="C45" s="167"/>
      <c r="D45" s="167"/>
      <c r="E45" s="167"/>
      <c r="F45" s="167"/>
      <c r="G45" s="167"/>
      <c r="H45" s="167"/>
      <c r="I45" s="167"/>
    </row>
    <row r="46" spans="1:10" x14ac:dyDescent="0.2">
      <c r="A46" s="46" t="s">
        <v>117</v>
      </c>
      <c r="B46" s="47" t="s">
        <v>118</v>
      </c>
      <c r="C46" s="53">
        <v>24</v>
      </c>
      <c r="D46" s="49">
        <v>49000</v>
      </c>
      <c r="E46" s="49">
        <v>10</v>
      </c>
      <c r="F46" s="49">
        <f t="shared" ref="F46:F51" si="4">+C46*D46*E46</f>
        <v>11760000</v>
      </c>
      <c r="G46" s="49">
        <v>490000</v>
      </c>
      <c r="H46" s="49">
        <v>6860000</v>
      </c>
      <c r="I46" s="49">
        <v>4410000</v>
      </c>
      <c r="J46" s="53">
        <v>0</v>
      </c>
    </row>
    <row r="47" spans="1:10" x14ac:dyDescent="0.2">
      <c r="A47" s="46" t="s">
        <v>119</v>
      </c>
      <c r="B47" s="47" t="s">
        <v>120</v>
      </c>
      <c r="C47" s="53">
        <v>6</v>
      </c>
      <c r="D47" s="49">
        <v>10000</v>
      </c>
      <c r="E47" s="49">
        <v>8</v>
      </c>
      <c r="F47" s="49">
        <f t="shared" si="4"/>
        <v>480000</v>
      </c>
      <c r="G47" s="49">
        <v>0</v>
      </c>
      <c r="H47" s="49">
        <v>480000</v>
      </c>
      <c r="I47" s="49">
        <v>0</v>
      </c>
      <c r="J47" s="53">
        <v>0</v>
      </c>
    </row>
    <row r="48" spans="1:10" x14ac:dyDescent="0.2">
      <c r="A48" s="46" t="s">
        <v>121</v>
      </c>
      <c r="B48" s="47" t="s">
        <v>122</v>
      </c>
      <c r="C48" s="53">
        <v>1</v>
      </c>
      <c r="D48" s="49">
        <v>49000</v>
      </c>
      <c r="E48" s="49">
        <v>10</v>
      </c>
      <c r="F48" s="49">
        <v>490000</v>
      </c>
      <c r="G48" s="49">
        <v>343000</v>
      </c>
      <c r="H48" s="49">
        <v>0</v>
      </c>
      <c r="I48" s="49">
        <v>147000</v>
      </c>
      <c r="J48" s="53">
        <v>0</v>
      </c>
    </row>
    <row r="49" spans="1:10" x14ac:dyDescent="0.2">
      <c r="A49" s="46" t="s">
        <v>123</v>
      </c>
      <c r="B49" s="47" t="s">
        <v>124</v>
      </c>
      <c r="C49" s="53">
        <v>23</v>
      </c>
      <c r="D49" s="49">
        <v>70000</v>
      </c>
      <c r="E49" s="49">
        <v>11</v>
      </c>
      <c r="F49" s="49">
        <f t="shared" si="4"/>
        <v>17710000</v>
      </c>
      <c r="G49" s="49">
        <v>3570000</v>
      </c>
      <c r="H49" s="49">
        <v>10780000</v>
      </c>
      <c r="I49" s="49">
        <v>3360000</v>
      </c>
      <c r="J49" s="53">
        <v>0</v>
      </c>
    </row>
    <row r="50" spans="1:10" x14ac:dyDescent="0.2">
      <c r="A50" s="46" t="s">
        <v>125</v>
      </c>
      <c r="B50" s="47" t="s">
        <v>126</v>
      </c>
      <c r="C50" s="53">
        <v>6</v>
      </c>
      <c r="D50" s="49">
        <v>70000</v>
      </c>
      <c r="E50" s="49">
        <v>9</v>
      </c>
      <c r="F50" s="49">
        <f t="shared" si="4"/>
        <v>3780000</v>
      </c>
      <c r="G50" s="49">
        <v>0</v>
      </c>
      <c r="H50" s="49">
        <v>3780000</v>
      </c>
      <c r="I50" s="49">
        <v>0</v>
      </c>
      <c r="J50" s="53">
        <v>0</v>
      </c>
    </row>
    <row r="51" spans="1:10" x14ac:dyDescent="0.2">
      <c r="A51" s="46" t="s">
        <v>127</v>
      </c>
      <c r="B51" s="47" t="s">
        <v>128</v>
      </c>
      <c r="C51" s="53">
        <v>30</v>
      </c>
      <c r="D51" s="49">
        <v>10000</v>
      </c>
      <c r="E51" s="49">
        <v>1</v>
      </c>
      <c r="F51" s="49">
        <f t="shared" si="4"/>
        <v>300000</v>
      </c>
      <c r="G51" s="49">
        <v>0</v>
      </c>
      <c r="H51" s="49">
        <v>200000</v>
      </c>
      <c r="I51" s="49">
        <v>100050</v>
      </c>
      <c r="J51" s="53">
        <v>0</v>
      </c>
    </row>
    <row r="52" spans="1:10" ht="16" x14ac:dyDescent="0.2">
      <c r="A52" s="46"/>
      <c r="B52" s="54" t="s">
        <v>129</v>
      </c>
      <c r="C52" s="53"/>
      <c r="D52" s="49"/>
      <c r="E52" s="49"/>
      <c r="F52" s="51">
        <f>+SUM(F46:F51)</f>
        <v>34520000</v>
      </c>
      <c r="G52" s="51">
        <f t="shared" ref="G52:J52" si="5">+SUM(G46:G51)</f>
        <v>4403000</v>
      </c>
      <c r="H52" s="51">
        <f t="shared" si="5"/>
        <v>22100000</v>
      </c>
      <c r="I52" s="51">
        <f t="shared" si="5"/>
        <v>8017050</v>
      </c>
      <c r="J52" s="51">
        <f t="shared" si="5"/>
        <v>0</v>
      </c>
    </row>
    <row r="53" spans="1:10" x14ac:dyDescent="0.2">
      <c r="A53" s="37">
        <v>8</v>
      </c>
      <c r="B53" s="167" t="s">
        <v>130</v>
      </c>
      <c r="C53" s="167"/>
      <c r="D53" s="167"/>
      <c r="E53" s="167"/>
      <c r="F53" s="167"/>
      <c r="G53" s="167"/>
      <c r="H53" s="167"/>
      <c r="I53" s="167"/>
    </row>
    <row r="54" spans="1:10" x14ac:dyDescent="0.2">
      <c r="A54" s="46" t="s">
        <v>131</v>
      </c>
      <c r="B54" s="47" t="s">
        <v>132</v>
      </c>
      <c r="C54" s="53">
        <v>38</v>
      </c>
      <c r="D54" s="49">
        <v>2000</v>
      </c>
      <c r="E54" s="49">
        <v>2</v>
      </c>
      <c r="F54" s="49">
        <f t="shared" ref="F54:F55" si="6">+C54*D54*E54</f>
        <v>152000</v>
      </c>
      <c r="G54" s="49">
        <v>96000</v>
      </c>
      <c r="H54" s="53">
        <v>0</v>
      </c>
      <c r="I54" s="49">
        <v>0</v>
      </c>
      <c r="J54" s="53">
        <v>0</v>
      </c>
    </row>
    <row r="55" spans="1:10" x14ac:dyDescent="0.2">
      <c r="A55" s="46" t="s">
        <v>133</v>
      </c>
      <c r="B55" s="47" t="s">
        <v>134</v>
      </c>
      <c r="C55" s="53">
        <v>38</v>
      </c>
      <c r="D55" s="49">
        <v>5000</v>
      </c>
      <c r="E55" s="49">
        <v>2</v>
      </c>
      <c r="F55" s="49">
        <f t="shared" si="6"/>
        <v>380000</v>
      </c>
      <c r="G55" s="49">
        <v>240000</v>
      </c>
      <c r="H55" s="53">
        <v>0</v>
      </c>
      <c r="I55" s="49">
        <v>196000</v>
      </c>
      <c r="J55" s="53">
        <v>0</v>
      </c>
    </row>
    <row r="56" spans="1:10" ht="16" x14ac:dyDescent="0.2">
      <c r="A56" s="46"/>
      <c r="B56" s="55" t="s">
        <v>135</v>
      </c>
      <c r="C56" s="53"/>
      <c r="D56" s="49"/>
      <c r="E56" s="49"/>
      <c r="F56" s="51">
        <f>+F54+F55</f>
        <v>532000</v>
      </c>
      <c r="G56" s="51">
        <f t="shared" ref="G56:J56" si="7">+G54+G55</f>
        <v>336000</v>
      </c>
      <c r="H56" s="51">
        <f t="shared" si="7"/>
        <v>0</v>
      </c>
      <c r="I56" s="51">
        <f t="shared" si="7"/>
        <v>196000</v>
      </c>
      <c r="J56" s="51">
        <f t="shared" si="7"/>
        <v>0</v>
      </c>
    </row>
    <row r="57" spans="1:10" x14ac:dyDescent="0.2">
      <c r="A57" s="37">
        <v>9</v>
      </c>
      <c r="B57" s="167" t="s">
        <v>136</v>
      </c>
      <c r="C57" s="167"/>
      <c r="D57" s="167"/>
      <c r="E57" s="167"/>
      <c r="F57" s="167"/>
      <c r="G57" s="167"/>
      <c r="H57" s="167"/>
      <c r="I57" s="167"/>
    </row>
    <row r="58" spans="1:10" x14ac:dyDescent="0.2">
      <c r="A58" s="46" t="s">
        <v>137</v>
      </c>
      <c r="B58" s="47" t="s">
        <v>138</v>
      </c>
      <c r="C58" s="52">
        <v>6324.45</v>
      </c>
      <c r="D58" s="49">
        <v>700</v>
      </c>
      <c r="E58" s="49">
        <v>1</v>
      </c>
      <c r="F58" s="49">
        <f t="shared" ref="F58:F70" si="8">+C58*D58*E58</f>
        <v>4427115</v>
      </c>
      <c r="G58" s="49">
        <v>398665</v>
      </c>
      <c r="H58" s="49">
        <v>700000</v>
      </c>
      <c r="I58" s="49">
        <v>828750</v>
      </c>
      <c r="J58" s="53">
        <v>2499700</v>
      </c>
    </row>
    <row r="59" spans="1:10" x14ac:dyDescent="0.2">
      <c r="A59" s="46" t="s">
        <v>139</v>
      </c>
      <c r="B59" s="47" t="s">
        <v>140</v>
      </c>
      <c r="C59" s="52">
        <v>3</v>
      </c>
      <c r="D59" s="49">
        <v>6000</v>
      </c>
      <c r="E59" s="49">
        <v>1</v>
      </c>
      <c r="F59" s="49">
        <f t="shared" si="8"/>
        <v>18000</v>
      </c>
      <c r="G59" s="49">
        <v>0</v>
      </c>
      <c r="H59" s="49">
        <v>12000</v>
      </c>
      <c r="I59" s="49">
        <v>396200</v>
      </c>
      <c r="J59" s="53">
        <v>0</v>
      </c>
    </row>
    <row r="60" spans="1:10" x14ac:dyDescent="0.2">
      <c r="A60" s="46" t="s">
        <v>141</v>
      </c>
      <c r="B60" s="47" t="s">
        <v>142</v>
      </c>
      <c r="C60" s="52">
        <v>60</v>
      </c>
      <c r="D60" s="49">
        <v>500</v>
      </c>
      <c r="E60" s="49">
        <v>0</v>
      </c>
      <c r="F60" s="49">
        <f t="shared" si="8"/>
        <v>0</v>
      </c>
      <c r="G60" s="49">
        <v>0</v>
      </c>
      <c r="H60" s="49">
        <v>20000</v>
      </c>
      <c r="I60" s="49">
        <v>0</v>
      </c>
      <c r="J60" s="53">
        <v>0</v>
      </c>
    </row>
    <row r="61" spans="1:10" x14ac:dyDescent="0.2">
      <c r="A61" s="46" t="s">
        <v>143</v>
      </c>
      <c r="B61" s="47" t="s">
        <v>144</v>
      </c>
      <c r="C61" s="52">
        <v>8</v>
      </c>
      <c r="D61" s="49">
        <v>2000</v>
      </c>
      <c r="E61" s="49">
        <v>1</v>
      </c>
      <c r="F61" s="49">
        <f t="shared" si="8"/>
        <v>16000</v>
      </c>
      <c r="G61" s="49">
        <v>12000</v>
      </c>
      <c r="H61" s="49">
        <v>0</v>
      </c>
      <c r="I61" s="49">
        <v>0</v>
      </c>
      <c r="J61" s="53">
        <v>0</v>
      </c>
    </row>
    <row r="62" spans="1:10" x14ac:dyDescent="0.2">
      <c r="A62" s="46" t="s">
        <v>145</v>
      </c>
      <c r="B62" s="47" t="s">
        <v>146</v>
      </c>
      <c r="C62" s="52">
        <v>5</v>
      </c>
      <c r="D62" s="49">
        <v>10000</v>
      </c>
      <c r="E62" s="49">
        <v>3</v>
      </c>
      <c r="F62" s="49">
        <f t="shared" si="8"/>
        <v>150000</v>
      </c>
      <c r="G62" s="49">
        <v>150000</v>
      </c>
      <c r="H62" s="49">
        <v>0</v>
      </c>
      <c r="I62" s="49">
        <v>0</v>
      </c>
      <c r="J62" s="53">
        <v>0</v>
      </c>
    </row>
    <row r="63" spans="1:10" x14ac:dyDescent="0.2">
      <c r="A63" s="46" t="s">
        <v>147</v>
      </c>
      <c r="B63" s="47" t="s">
        <v>148</v>
      </c>
      <c r="C63" s="52">
        <v>6</v>
      </c>
      <c r="D63" s="49">
        <v>10000</v>
      </c>
      <c r="E63" s="49">
        <v>3</v>
      </c>
      <c r="F63" s="49">
        <f t="shared" si="8"/>
        <v>180000</v>
      </c>
      <c r="G63" s="49">
        <v>180000</v>
      </c>
      <c r="H63" s="49">
        <v>0</v>
      </c>
      <c r="I63" s="49">
        <v>0</v>
      </c>
      <c r="J63" s="53">
        <v>0</v>
      </c>
    </row>
    <row r="64" spans="1:10" x14ac:dyDescent="0.2">
      <c r="A64" s="46" t="s">
        <v>149</v>
      </c>
      <c r="B64" s="47" t="s">
        <v>150</v>
      </c>
      <c r="C64" s="52">
        <v>8881</v>
      </c>
      <c r="D64" s="49">
        <v>200</v>
      </c>
      <c r="E64" s="49">
        <v>1</v>
      </c>
      <c r="F64" s="49">
        <f t="shared" si="8"/>
        <v>1776200</v>
      </c>
      <c r="G64" s="49">
        <v>800000</v>
      </c>
      <c r="H64" s="49">
        <v>600000</v>
      </c>
      <c r="I64" s="49">
        <v>0</v>
      </c>
      <c r="J64" s="53">
        <v>0</v>
      </c>
    </row>
    <row r="65" spans="1:10" x14ac:dyDescent="0.2">
      <c r="A65" s="46" t="s">
        <v>151</v>
      </c>
      <c r="B65" s="47" t="s">
        <v>152</v>
      </c>
      <c r="C65" s="52">
        <v>6</v>
      </c>
      <c r="D65" s="49">
        <v>150000</v>
      </c>
      <c r="E65" s="49">
        <v>4</v>
      </c>
      <c r="F65" s="49">
        <f t="shared" si="8"/>
        <v>3600000</v>
      </c>
      <c r="G65" s="49">
        <v>3600000</v>
      </c>
      <c r="H65" s="49">
        <v>0</v>
      </c>
      <c r="I65" s="49">
        <v>0</v>
      </c>
      <c r="J65" s="53">
        <v>0</v>
      </c>
    </row>
    <row r="66" spans="1:10" x14ac:dyDescent="0.2">
      <c r="A66" s="46" t="s">
        <v>153</v>
      </c>
      <c r="B66" s="47" t="s">
        <v>154</v>
      </c>
      <c r="C66" s="52">
        <v>10660</v>
      </c>
      <c r="D66" s="49">
        <v>610</v>
      </c>
      <c r="E66" s="49">
        <v>0.3</v>
      </c>
      <c r="F66" s="49">
        <f t="shared" si="8"/>
        <v>1950780</v>
      </c>
      <c r="G66" s="49">
        <v>1950780</v>
      </c>
      <c r="H66" s="49">
        <v>0</v>
      </c>
      <c r="I66" s="49">
        <v>0</v>
      </c>
      <c r="J66" s="53">
        <v>0</v>
      </c>
    </row>
    <row r="67" spans="1:10" x14ac:dyDescent="0.2">
      <c r="A67" s="46" t="s">
        <v>155</v>
      </c>
      <c r="B67" s="47" t="s">
        <v>156</v>
      </c>
      <c r="C67" s="52">
        <v>45996</v>
      </c>
      <c r="D67" s="49">
        <v>500</v>
      </c>
      <c r="E67" s="49">
        <v>1</v>
      </c>
      <c r="F67" s="49">
        <f t="shared" si="8"/>
        <v>22998000</v>
      </c>
      <c r="G67" s="49">
        <v>10982500</v>
      </c>
      <c r="H67" s="49">
        <v>10358000</v>
      </c>
      <c r="I67" s="49">
        <v>1657500</v>
      </c>
      <c r="J67" s="53">
        <v>0</v>
      </c>
    </row>
    <row r="68" spans="1:10" x14ac:dyDescent="0.2">
      <c r="A68" s="46" t="s">
        <v>157</v>
      </c>
      <c r="B68" s="56" t="s">
        <v>158</v>
      </c>
      <c r="C68" s="57">
        <v>134921.60000000001</v>
      </c>
      <c r="D68" s="58">
        <v>25</v>
      </c>
      <c r="E68" s="58">
        <v>1</v>
      </c>
      <c r="F68" s="58">
        <f t="shared" si="8"/>
        <v>3373040</v>
      </c>
      <c r="G68" s="58">
        <v>3141040.0000000005</v>
      </c>
      <c r="H68" s="58">
        <v>0</v>
      </c>
      <c r="I68" s="58">
        <v>232000</v>
      </c>
      <c r="J68" s="59">
        <v>0</v>
      </c>
    </row>
    <row r="69" spans="1:10" x14ac:dyDescent="0.2">
      <c r="A69" s="46" t="s">
        <v>159</v>
      </c>
      <c r="B69" s="47" t="s">
        <v>160</v>
      </c>
      <c r="C69" s="52">
        <v>0</v>
      </c>
      <c r="D69" s="49">
        <v>300</v>
      </c>
      <c r="E69" s="49">
        <v>1</v>
      </c>
      <c r="F69" s="49">
        <f t="shared" si="8"/>
        <v>0</v>
      </c>
      <c r="G69" s="49">
        <v>0</v>
      </c>
      <c r="H69" s="49">
        <v>0</v>
      </c>
      <c r="I69" s="49">
        <v>0</v>
      </c>
      <c r="J69" s="53">
        <v>0</v>
      </c>
    </row>
    <row r="70" spans="1:10" x14ac:dyDescent="0.2">
      <c r="A70" s="46" t="s">
        <v>161</v>
      </c>
      <c r="B70" s="47" t="s">
        <v>162</v>
      </c>
      <c r="C70" s="52">
        <v>30</v>
      </c>
      <c r="D70" s="49">
        <v>1000</v>
      </c>
      <c r="E70" s="49">
        <v>2</v>
      </c>
      <c r="F70" s="49">
        <f t="shared" si="8"/>
        <v>60000</v>
      </c>
      <c r="G70" s="49">
        <v>60000</v>
      </c>
      <c r="H70" s="53"/>
      <c r="I70" s="49">
        <v>0</v>
      </c>
      <c r="J70" s="53">
        <v>0</v>
      </c>
    </row>
    <row r="71" spans="1:10" ht="16" x14ac:dyDescent="0.2">
      <c r="A71" s="46"/>
      <c r="B71" s="60" t="s">
        <v>163</v>
      </c>
      <c r="C71" s="53"/>
      <c r="D71" s="49"/>
      <c r="E71" s="49"/>
      <c r="F71" s="51">
        <f>+SUM(F58:F70)</f>
        <v>38549135</v>
      </c>
      <c r="G71" s="51">
        <f t="shared" ref="G71:J71" si="9">+SUM(G58:G70)</f>
        <v>21274985</v>
      </c>
      <c r="H71" s="51">
        <f t="shared" si="9"/>
        <v>11690000</v>
      </c>
      <c r="I71" s="51">
        <f t="shared" si="9"/>
        <v>3114450</v>
      </c>
      <c r="J71" s="51">
        <f t="shared" si="9"/>
        <v>2499700</v>
      </c>
    </row>
    <row r="72" spans="1:10" x14ac:dyDescent="0.2">
      <c r="A72" s="37">
        <v>10</v>
      </c>
      <c r="B72" s="167" t="s">
        <v>164</v>
      </c>
      <c r="C72" s="167"/>
      <c r="D72" s="167"/>
      <c r="E72" s="167"/>
      <c r="F72" s="167"/>
      <c r="G72" s="167"/>
      <c r="H72" s="167"/>
      <c r="I72" s="167"/>
    </row>
    <row r="73" spans="1:10" x14ac:dyDescent="0.2">
      <c r="A73" s="46" t="s">
        <v>165</v>
      </c>
      <c r="B73" s="47" t="s">
        <v>166</v>
      </c>
      <c r="C73" s="53">
        <v>1</v>
      </c>
      <c r="D73" s="49">
        <v>49000</v>
      </c>
      <c r="E73" s="49">
        <v>5</v>
      </c>
      <c r="F73" s="49">
        <f t="shared" ref="F73:F79" si="10">+C73*D73*E73</f>
        <v>245000</v>
      </c>
      <c r="G73" s="49">
        <v>245000</v>
      </c>
      <c r="H73" s="53">
        <v>0</v>
      </c>
      <c r="I73" s="53">
        <v>0</v>
      </c>
      <c r="J73" s="53">
        <v>0</v>
      </c>
    </row>
    <row r="74" spans="1:10" x14ac:dyDescent="0.2">
      <c r="A74" s="46" t="s">
        <v>167</v>
      </c>
      <c r="B74" s="47" t="s">
        <v>168</v>
      </c>
      <c r="C74" s="53">
        <v>1</v>
      </c>
      <c r="D74" s="49">
        <v>49000</v>
      </c>
      <c r="E74" s="49">
        <v>5</v>
      </c>
      <c r="F74" s="49">
        <f t="shared" si="10"/>
        <v>245000</v>
      </c>
      <c r="G74" s="49">
        <v>245000</v>
      </c>
      <c r="H74" s="53">
        <v>0</v>
      </c>
      <c r="I74" s="53">
        <v>0</v>
      </c>
      <c r="J74" s="53">
        <v>0</v>
      </c>
    </row>
    <row r="75" spans="1:10" x14ac:dyDescent="0.2">
      <c r="A75" s="46" t="s">
        <v>169</v>
      </c>
      <c r="B75" s="47" t="s">
        <v>170</v>
      </c>
      <c r="C75" s="53">
        <v>10</v>
      </c>
      <c r="D75" s="49">
        <v>24500</v>
      </c>
      <c r="E75" s="49">
        <v>7</v>
      </c>
      <c r="F75" s="49">
        <f t="shared" si="10"/>
        <v>1715000</v>
      </c>
      <c r="G75" s="49">
        <v>1715000</v>
      </c>
      <c r="H75" s="53">
        <v>0</v>
      </c>
      <c r="I75" s="53">
        <v>0</v>
      </c>
      <c r="J75" s="53">
        <v>0</v>
      </c>
    </row>
    <row r="76" spans="1:10" x14ac:dyDescent="0.2">
      <c r="A76" s="46" t="s">
        <v>171</v>
      </c>
      <c r="B76" s="47" t="s">
        <v>172</v>
      </c>
      <c r="C76" s="53">
        <v>10</v>
      </c>
      <c r="D76" s="49">
        <v>15000</v>
      </c>
      <c r="E76" s="49">
        <v>1</v>
      </c>
      <c r="F76" s="49">
        <f t="shared" si="10"/>
        <v>150000</v>
      </c>
      <c r="G76" s="49">
        <v>150000</v>
      </c>
      <c r="H76" s="53">
        <v>0</v>
      </c>
      <c r="I76" s="53">
        <v>0</v>
      </c>
      <c r="J76" s="53">
        <v>0</v>
      </c>
    </row>
    <row r="77" spans="1:10" x14ac:dyDescent="0.2">
      <c r="A77" s="46" t="s">
        <v>173</v>
      </c>
      <c r="B77" s="47" t="s">
        <v>174</v>
      </c>
      <c r="C77" s="53">
        <v>2</v>
      </c>
      <c r="D77" s="49">
        <v>24500</v>
      </c>
      <c r="E77" s="49">
        <v>7</v>
      </c>
      <c r="F77" s="49">
        <f t="shared" si="10"/>
        <v>343000</v>
      </c>
      <c r="G77" s="49">
        <v>343000</v>
      </c>
      <c r="H77" s="53">
        <v>0</v>
      </c>
      <c r="I77" s="53">
        <v>0</v>
      </c>
      <c r="J77" s="53">
        <v>0</v>
      </c>
    </row>
    <row r="78" spans="1:10" x14ac:dyDescent="0.2">
      <c r="A78" s="46" t="s">
        <v>175</v>
      </c>
      <c r="B78" s="47" t="s">
        <v>176</v>
      </c>
      <c r="C78" s="53">
        <v>2</v>
      </c>
      <c r="D78" s="49">
        <v>24500</v>
      </c>
      <c r="E78" s="49">
        <v>7</v>
      </c>
      <c r="F78" s="49">
        <f t="shared" si="10"/>
        <v>343000</v>
      </c>
      <c r="G78" s="49">
        <v>343000</v>
      </c>
      <c r="H78" s="53">
        <v>0</v>
      </c>
      <c r="I78" s="53">
        <v>0</v>
      </c>
      <c r="J78" s="53">
        <v>0</v>
      </c>
    </row>
    <row r="79" spans="1:10" x14ac:dyDescent="0.2">
      <c r="A79" s="46" t="s">
        <v>177</v>
      </c>
      <c r="B79" s="47" t="s">
        <v>178</v>
      </c>
      <c r="C79" s="53">
        <v>2</v>
      </c>
      <c r="D79" s="49">
        <v>24500</v>
      </c>
      <c r="E79" s="49">
        <v>7</v>
      </c>
      <c r="F79" s="49">
        <f t="shared" si="10"/>
        <v>343000</v>
      </c>
      <c r="G79" s="49">
        <v>343000</v>
      </c>
      <c r="H79" s="53">
        <v>0</v>
      </c>
      <c r="I79" s="48">
        <v>0</v>
      </c>
      <c r="J79" s="53">
        <v>0</v>
      </c>
    </row>
    <row r="80" spans="1:10" ht="16" x14ac:dyDescent="0.2">
      <c r="A80" s="46"/>
      <c r="B80" s="60" t="s">
        <v>179</v>
      </c>
      <c r="C80" s="53"/>
      <c r="D80" s="49"/>
      <c r="E80" s="49"/>
      <c r="F80" s="51">
        <f>+SUM(F73:F79)</f>
        <v>3384000</v>
      </c>
      <c r="G80" s="51">
        <f t="shared" ref="G80:H80" si="11">+SUM(G73:G79)</f>
        <v>3384000</v>
      </c>
      <c r="H80" s="51">
        <f t="shared" si="11"/>
        <v>0</v>
      </c>
      <c r="I80" s="51">
        <f>+SUM(I73:I79)</f>
        <v>0</v>
      </c>
      <c r="J80" s="51">
        <f>+SUM(J73:J79)</f>
        <v>0</v>
      </c>
    </row>
    <row r="81" spans="1:11" x14ac:dyDescent="0.2">
      <c r="A81" s="37">
        <v>11</v>
      </c>
      <c r="B81" s="167" t="s">
        <v>180</v>
      </c>
      <c r="C81" s="167"/>
      <c r="D81" s="167"/>
      <c r="E81" s="167"/>
      <c r="F81" s="167"/>
      <c r="G81" s="167"/>
      <c r="H81" s="167"/>
      <c r="I81" s="167"/>
    </row>
    <row r="82" spans="1:11" x14ac:dyDescent="0.2">
      <c r="A82" s="46" t="s">
        <v>181</v>
      </c>
      <c r="B82" s="47" t="s">
        <v>182</v>
      </c>
      <c r="C82" s="52">
        <v>15105.45</v>
      </c>
      <c r="D82" s="49">
        <v>610</v>
      </c>
      <c r="E82" s="49">
        <v>1</v>
      </c>
      <c r="F82" s="49">
        <f t="shared" ref="F82:F84" si="12">+C82*D82*E82</f>
        <v>9214324.5</v>
      </c>
      <c r="G82" s="49">
        <v>4249359.5</v>
      </c>
      <c r="H82" s="49">
        <v>4110965</v>
      </c>
      <c r="I82" s="49">
        <v>854000</v>
      </c>
      <c r="J82" s="53">
        <v>0</v>
      </c>
    </row>
    <row r="83" spans="1:11" x14ac:dyDescent="0.2">
      <c r="A83" s="46" t="s">
        <v>183</v>
      </c>
      <c r="B83" s="47" t="s">
        <v>184</v>
      </c>
      <c r="C83" s="52">
        <v>1996</v>
      </c>
      <c r="D83" s="49">
        <v>610</v>
      </c>
      <c r="E83" s="61">
        <v>0.15</v>
      </c>
      <c r="F83" s="49">
        <f t="shared" si="12"/>
        <v>182634</v>
      </c>
      <c r="G83" s="49">
        <v>182634</v>
      </c>
      <c r="H83" s="49">
        <v>0</v>
      </c>
      <c r="I83" s="49">
        <v>0</v>
      </c>
      <c r="J83" s="53">
        <v>0</v>
      </c>
    </row>
    <row r="84" spans="1:11" x14ac:dyDescent="0.2">
      <c r="A84" s="46" t="s">
        <v>185</v>
      </c>
      <c r="B84" s="47" t="s">
        <v>186</v>
      </c>
      <c r="C84" s="52">
        <v>2000</v>
      </c>
      <c r="D84" s="49">
        <v>610</v>
      </c>
      <c r="E84" s="61">
        <v>0.15</v>
      </c>
      <c r="F84" s="49">
        <f t="shared" si="12"/>
        <v>183000</v>
      </c>
      <c r="G84" s="49">
        <v>183000</v>
      </c>
      <c r="H84" s="49">
        <v>0</v>
      </c>
      <c r="I84" s="49">
        <v>0</v>
      </c>
      <c r="J84" s="53">
        <v>0</v>
      </c>
    </row>
    <row r="85" spans="1:11" ht="16" x14ac:dyDescent="0.2">
      <c r="A85" s="46"/>
      <c r="B85" s="60" t="s">
        <v>187</v>
      </c>
      <c r="C85" s="53"/>
      <c r="D85" s="49"/>
      <c r="E85" s="49"/>
      <c r="F85" s="51">
        <f>+SUM(F82:F84)</f>
        <v>9579958.5</v>
      </c>
      <c r="G85" s="51">
        <f t="shared" ref="G85:J85" si="13">+SUM(G82:G84)</f>
        <v>4614993.5</v>
      </c>
      <c r="H85" s="51">
        <f t="shared" si="13"/>
        <v>4110965</v>
      </c>
      <c r="I85" s="51">
        <f t="shared" si="13"/>
        <v>854000</v>
      </c>
      <c r="J85" s="51">
        <f t="shared" si="13"/>
        <v>0</v>
      </c>
    </row>
    <row r="86" spans="1:11" x14ac:dyDescent="0.2">
      <c r="A86" s="46"/>
      <c r="B86" s="62" t="s">
        <v>188</v>
      </c>
      <c r="C86" s="63"/>
      <c r="D86" s="64"/>
      <c r="E86" s="64"/>
      <c r="F86" s="65">
        <f>+F41+F44+F52+F56+F71+F80+F85</f>
        <v>154838197.69999999</v>
      </c>
      <c r="G86" s="65">
        <f t="shared" ref="G86:H86" si="14">+G41+G44+G52+G56+G71+G80+G85</f>
        <v>60929691.160000011</v>
      </c>
      <c r="H86" s="65">
        <f t="shared" si="14"/>
        <v>53529159.340000004</v>
      </c>
      <c r="I86" s="65">
        <f>+I41+I44+I52+I56+I71+I80+I85</f>
        <v>23914800</v>
      </c>
      <c r="J86" s="65">
        <f>+J41+J44+J52+J56+J71+J80+J85</f>
        <v>16494597.199999999</v>
      </c>
    </row>
    <row r="88" spans="1:11" ht="16" x14ac:dyDescent="0.2">
      <c r="B88" s="66" t="s">
        <v>189</v>
      </c>
      <c r="C88" s="67"/>
      <c r="D88" s="68"/>
      <c r="E88" s="68"/>
      <c r="F88" s="68">
        <f>+F27+F86</f>
        <v>353571147.69999999</v>
      </c>
      <c r="G88" s="68">
        <f t="shared" ref="G88:J88" si="15">+G27+G86</f>
        <v>99190016.160000011</v>
      </c>
      <c r="H88" s="68">
        <f t="shared" si="15"/>
        <v>173187359.34</v>
      </c>
      <c r="I88" s="68">
        <f t="shared" si="15"/>
        <v>64729225</v>
      </c>
      <c r="J88" s="68">
        <f t="shared" si="15"/>
        <v>16494597.199999999</v>
      </c>
    </row>
    <row r="89" spans="1:11" x14ac:dyDescent="0.2">
      <c r="F89" s="70">
        <f>+F88/F88</f>
        <v>1</v>
      </c>
      <c r="G89" s="70">
        <f>+G88/$F$88</f>
        <v>0.28053764229699341</v>
      </c>
      <c r="H89" s="70">
        <f t="shared" ref="H89:J89" si="16">+H88/$F$88</f>
        <v>0.48982322360462222</v>
      </c>
      <c r="I89" s="70">
        <f t="shared" si="16"/>
        <v>0.18307270098555048</v>
      </c>
      <c r="J89" s="70">
        <f t="shared" si="16"/>
        <v>4.6651423079338554E-2</v>
      </c>
    </row>
    <row r="91" spans="1:11" x14ac:dyDescent="0.2">
      <c r="I91" t="s">
        <v>190</v>
      </c>
      <c r="J91" s="71">
        <f>G88+I88</f>
        <v>163919241.16000003</v>
      </c>
    </row>
    <row r="93" spans="1:11" x14ac:dyDescent="0.2">
      <c r="F93" s="72" t="s">
        <v>191</v>
      </c>
      <c r="G93" s="72"/>
      <c r="H93" s="72"/>
      <c r="I93" s="73">
        <v>50896156.5</v>
      </c>
      <c r="J93" s="74">
        <v>48293859.660000011</v>
      </c>
      <c r="K93" s="75">
        <v>99190016.160000011</v>
      </c>
    </row>
    <row r="94" spans="1:11" x14ac:dyDescent="0.2">
      <c r="F94" s="76"/>
      <c r="G94" s="76"/>
      <c r="H94" s="76"/>
      <c r="I94" s="76"/>
      <c r="J94" s="76"/>
      <c r="K94" s="77"/>
    </row>
    <row r="95" spans="1:11" x14ac:dyDescent="0.2">
      <c r="F95" s="72" t="s">
        <v>48</v>
      </c>
      <c r="G95" s="72"/>
      <c r="H95" s="72"/>
      <c r="I95" s="73">
        <v>41426625</v>
      </c>
      <c r="J95" s="78">
        <v>23302600</v>
      </c>
      <c r="K95" s="79">
        <v>64729225</v>
      </c>
    </row>
    <row r="96" spans="1:11" x14ac:dyDescent="0.2">
      <c r="F96" s="76"/>
      <c r="G96" s="76"/>
      <c r="H96" s="76"/>
      <c r="I96" s="76"/>
      <c r="J96" s="76"/>
      <c r="K96" s="76"/>
    </row>
    <row r="97" spans="2:11" x14ac:dyDescent="0.2">
      <c r="F97" s="76"/>
      <c r="G97" s="76"/>
      <c r="H97" s="76"/>
      <c r="I97" s="76"/>
      <c r="J97" s="76"/>
      <c r="K97" s="76"/>
    </row>
    <row r="98" spans="2:11" x14ac:dyDescent="0.2">
      <c r="F98" s="76"/>
      <c r="G98" s="76"/>
      <c r="H98" s="76"/>
      <c r="I98" s="80"/>
      <c r="J98" s="76" t="s">
        <v>192</v>
      </c>
      <c r="K98" s="76"/>
    </row>
    <row r="99" spans="2:11" x14ac:dyDescent="0.2">
      <c r="F99" s="76"/>
      <c r="G99" s="76"/>
      <c r="H99" s="76"/>
      <c r="I99" s="81"/>
      <c r="J99" s="76" t="s">
        <v>193</v>
      </c>
      <c r="K99" s="76"/>
    </row>
    <row r="100" spans="2:11" x14ac:dyDescent="0.2">
      <c r="F100" s="76"/>
      <c r="G100" s="76"/>
      <c r="H100" s="76"/>
      <c r="I100" s="82"/>
      <c r="J100" s="76" t="s">
        <v>194</v>
      </c>
      <c r="K100" s="76"/>
    </row>
    <row r="102" spans="2:11" ht="16" thickBot="1" x14ac:dyDescent="0.25"/>
    <row r="103" spans="2:11" ht="31" thickBot="1" x14ac:dyDescent="0.25">
      <c r="B103" s="83" t="s">
        <v>195</v>
      </c>
      <c r="C103" s="84" t="s">
        <v>196</v>
      </c>
      <c r="D103" s="84" t="s">
        <v>197</v>
      </c>
      <c r="F103" s="84" t="s">
        <v>196</v>
      </c>
      <c r="G103" s="84" t="s">
        <v>197</v>
      </c>
    </row>
    <row r="104" spans="2:11" ht="16" thickBot="1" x14ac:dyDescent="0.25">
      <c r="B104" s="85" t="s">
        <v>198</v>
      </c>
      <c r="C104" s="86" t="s">
        <v>199</v>
      </c>
      <c r="D104" s="87">
        <v>0.05</v>
      </c>
      <c r="F104" s="86" t="s">
        <v>199</v>
      </c>
      <c r="G104" s="87">
        <v>0.05</v>
      </c>
    </row>
    <row r="105" spans="2:11" ht="16" thickBot="1" x14ac:dyDescent="0.25">
      <c r="B105" s="85" t="s">
        <v>3</v>
      </c>
      <c r="C105" s="86" t="s">
        <v>200</v>
      </c>
      <c r="D105" s="87">
        <v>0.49</v>
      </c>
      <c r="F105" s="86" t="s">
        <v>200</v>
      </c>
      <c r="G105" s="87">
        <v>0.49</v>
      </c>
    </row>
    <row r="106" spans="2:11" ht="16" thickBot="1" x14ac:dyDescent="0.25">
      <c r="B106" s="85" t="s">
        <v>201</v>
      </c>
      <c r="C106" s="86" t="s">
        <v>202</v>
      </c>
      <c r="D106" s="87">
        <v>0.28000000000000003</v>
      </c>
      <c r="F106" s="86" t="s">
        <v>202</v>
      </c>
      <c r="G106" s="87">
        <v>0.28000000000000003</v>
      </c>
    </row>
    <row r="107" spans="2:11" ht="16" thickBot="1" x14ac:dyDescent="0.25">
      <c r="B107" s="85" t="s">
        <v>203</v>
      </c>
      <c r="C107" s="86" t="s">
        <v>204</v>
      </c>
      <c r="D107" s="87">
        <v>0.18</v>
      </c>
      <c r="F107" s="86" t="s">
        <v>204</v>
      </c>
      <c r="G107" s="87">
        <v>0.18</v>
      </c>
    </row>
    <row r="108" spans="2:11" ht="16" thickBot="1" x14ac:dyDescent="0.25">
      <c r="B108" s="85" t="s">
        <v>190</v>
      </c>
      <c r="C108" s="86" t="s">
        <v>205</v>
      </c>
      <c r="D108" s="87">
        <v>0.46</v>
      </c>
      <c r="F108" s="86" t="s">
        <v>205</v>
      </c>
      <c r="G108" s="87">
        <v>0.46</v>
      </c>
    </row>
  </sheetData>
  <mergeCells count="13">
    <mergeCell ref="B81:I81"/>
    <mergeCell ref="B28:I28"/>
    <mergeCell ref="B42:I42"/>
    <mergeCell ref="B45:I45"/>
    <mergeCell ref="B53:I53"/>
    <mergeCell ref="B57:I57"/>
    <mergeCell ref="B72:I72"/>
    <mergeCell ref="B22:I22"/>
    <mergeCell ref="F2:F3"/>
    <mergeCell ref="G2:I2"/>
    <mergeCell ref="B4:I4"/>
    <mergeCell ref="B12:I12"/>
    <mergeCell ref="B17:I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opLeftCell="A16" workbookViewId="0">
      <selection activeCell="M8" sqref="M8:M33"/>
    </sheetView>
  </sheetViews>
  <sheetFormatPr baseColWidth="10" defaultColWidth="9.1640625" defaultRowHeight="15" x14ac:dyDescent="0.2"/>
  <cols>
    <col min="1" max="1" width="9.1640625" style="1"/>
    <col min="2" max="2" width="28.83203125" style="1" customWidth="1"/>
    <col min="3" max="3" width="22.1640625" style="11" customWidth="1"/>
    <col min="4" max="4" width="18.5" style="11" customWidth="1"/>
    <col min="5" max="5" width="0.5" style="11" customWidth="1"/>
    <col min="6" max="6" width="14.5" style="11" customWidth="1"/>
    <col min="7" max="7" width="13.6640625" style="11" customWidth="1"/>
    <col min="8" max="8" width="0.6640625" style="11" customWidth="1"/>
    <col min="9" max="9" width="20.6640625" style="11" customWidth="1"/>
    <col min="10" max="10" width="17.5" style="11" customWidth="1"/>
    <col min="11" max="11" width="0.5" style="11" customWidth="1"/>
    <col min="12" max="12" width="21.5" style="11" customWidth="1"/>
    <col min="13" max="13" width="16.83203125" style="11" customWidth="1"/>
    <col min="14" max="14" width="15.5" style="1" customWidth="1"/>
    <col min="15" max="16384" width="9.1640625" style="1"/>
  </cols>
  <sheetData>
    <row r="2" spans="2:13" x14ac:dyDescent="0.2">
      <c r="C2" s="151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13" x14ac:dyDescent="0.2">
      <c r="C3" s="152" t="s">
        <v>1</v>
      </c>
      <c r="D3" s="152"/>
      <c r="E3" s="187"/>
      <c r="F3" s="153" t="s">
        <v>2</v>
      </c>
      <c r="G3" s="154"/>
      <c r="H3" s="187"/>
      <c r="I3" s="153" t="s">
        <v>3</v>
      </c>
      <c r="J3" s="154"/>
      <c r="K3" s="187"/>
      <c r="L3" s="153" t="s">
        <v>4</v>
      </c>
      <c r="M3" s="154"/>
    </row>
    <row r="4" spans="2:13" ht="30" x14ac:dyDescent="0.2">
      <c r="B4" s="2" t="s">
        <v>5</v>
      </c>
      <c r="C4" s="3" t="s">
        <v>6</v>
      </c>
      <c r="D4" s="3" t="s">
        <v>7</v>
      </c>
      <c r="E4" s="188"/>
      <c r="F4" s="3" t="s">
        <v>6</v>
      </c>
      <c r="G4" s="3" t="s">
        <v>7</v>
      </c>
      <c r="H4" s="188"/>
      <c r="I4" s="3" t="s">
        <v>6</v>
      </c>
      <c r="J4" s="3" t="s">
        <v>7</v>
      </c>
      <c r="K4" s="188"/>
      <c r="L4" s="3" t="s">
        <v>6</v>
      </c>
      <c r="M4" s="3" t="s">
        <v>7</v>
      </c>
    </row>
    <row r="5" spans="2:13" ht="29" customHeight="1" x14ac:dyDescent="0.2">
      <c r="B5" s="155" t="s">
        <v>8</v>
      </c>
      <c r="C5" s="4" t="s">
        <v>9</v>
      </c>
      <c r="D5" s="5">
        <v>5333.8888888888887</v>
      </c>
      <c r="E5" s="188"/>
      <c r="F5" s="178"/>
      <c r="G5" s="179"/>
      <c r="H5" s="188"/>
      <c r="I5" s="157" t="s">
        <v>10</v>
      </c>
      <c r="J5" s="168">
        <v>16117.777777777777</v>
      </c>
      <c r="K5" s="188"/>
      <c r="L5" s="190"/>
      <c r="M5" s="191"/>
    </row>
    <row r="6" spans="2:13" ht="30" x14ac:dyDescent="0.2">
      <c r="B6" s="161"/>
      <c r="C6" s="6" t="s">
        <v>38</v>
      </c>
      <c r="D6" s="7">
        <v>5369.9444444444443</v>
      </c>
      <c r="E6" s="188"/>
      <c r="F6" s="180"/>
      <c r="G6" s="181"/>
      <c r="H6" s="188"/>
      <c r="I6" s="158"/>
      <c r="J6" s="169"/>
      <c r="K6" s="188"/>
      <c r="L6" s="192"/>
      <c r="M6" s="193"/>
    </row>
    <row r="7" spans="2:13" x14ac:dyDescent="0.2">
      <c r="B7" s="156"/>
      <c r="C7" s="6" t="s">
        <v>39</v>
      </c>
      <c r="D7" s="7">
        <v>2725</v>
      </c>
      <c r="E7" s="188"/>
      <c r="F7" s="180"/>
      <c r="G7" s="181"/>
      <c r="H7" s="188"/>
      <c r="I7" s="159"/>
      <c r="J7" s="177"/>
      <c r="K7" s="188"/>
      <c r="L7" s="194"/>
      <c r="M7" s="195"/>
    </row>
    <row r="8" spans="2:13" ht="31" customHeight="1" x14ac:dyDescent="0.2">
      <c r="B8" s="155" t="s">
        <v>11</v>
      </c>
      <c r="C8" s="157" t="s">
        <v>12</v>
      </c>
      <c r="D8" s="168">
        <v>49833.333333333336</v>
      </c>
      <c r="E8" s="188"/>
      <c r="F8" s="180"/>
      <c r="G8" s="181"/>
      <c r="H8" s="188"/>
      <c r="I8" s="184" t="s">
        <v>13</v>
      </c>
      <c r="J8" s="168">
        <v>5372.2222222222226</v>
      </c>
      <c r="K8" s="188"/>
      <c r="L8" s="157" t="s">
        <v>14</v>
      </c>
      <c r="M8" s="168">
        <v>136909.12400793651</v>
      </c>
    </row>
    <row r="9" spans="2:13" ht="31.5" customHeight="1" x14ac:dyDescent="0.2">
      <c r="B9" s="161"/>
      <c r="C9" s="158"/>
      <c r="D9" s="169"/>
      <c r="E9" s="188"/>
      <c r="F9" s="180"/>
      <c r="G9" s="181"/>
      <c r="H9" s="188"/>
      <c r="I9" s="185"/>
      <c r="J9" s="169"/>
      <c r="K9" s="188"/>
      <c r="L9" s="159"/>
      <c r="M9" s="169"/>
    </row>
    <row r="10" spans="2:13" ht="28.5" customHeight="1" x14ac:dyDescent="0.2">
      <c r="B10" s="156"/>
      <c r="C10" s="159"/>
      <c r="D10" s="177"/>
      <c r="E10" s="188"/>
      <c r="F10" s="182"/>
      <c r="G10" s="183"/>
      <c r="H10" s="188"/>
      <c r="I10" s="186"/>
      <c r="J10" s="177"/>
      <c r="K10" s="188"/>
      <c r="L10" s="4" t="s">
        <v>15</v>
      </c>
      <c r="M10" s="5">
        <v>3040.8333333333335</v>
      </c>
    </row>
    <row r="11" spans="2:13" x14ac:dyDescent="0.2">
      <c r="B11" s="155" t="s">
        <v>16</v>
      </c>
      <c r="C11" s="178"/>
      <c r="D11" s="179"/>
      <c r="E11" s="188"/>
      <c r="F11" s="178"/>
      <c r="G11" s="179"/>
      <c r="H11" s="188"/>
      <c r="I11" s="184" t="s">
        <v>13</v>
      </c>
      <c r="J11" s="168">
        <v>8633.3333333333339</v>
      </c>
      <c r="K11" s="188"/>
      <c r="L11" s="157" t="s">
        <v>14</v>
      </c>
      <c r="M11" s="168">
        <v>55548.679166666669</v>
      </c>
    </row>
    <row r="12" spans="2:13" ht="39" customHeight="1" x14ac:dyDescent="0.2">
      <c r="B12" s="161"/>
      <c r="C12" s="180"/>
      <c r="D12" s="181"/>
      <c r="E12" s="188"/>
      <c r="F12" s="180"/>
      <c r="G12" s="181"/>
      <c r="H12" s="188"/>
      <c r="I12" s="186"/>
      <c r="J12" s="177"/>
      <c r="K12" s="188"/>
      <c r="L12" s="159"/>
      <c r="M12" s="177"/>
    </row>
    <row r="13" spans="2:13" ht="30" x14ac:dyDescent="0.2">
      <c r="B13" s="156"/>
      <c r="C13" s="182"/>
      <c r="D13" s="183"/>
      <c r="E13" s="188"/>
      <c r="F13" s="182"/>
      <c r="G13" s="183"/>
      <c r="H13" s="188"/>
      <c r="I13" s="4" t="s">
        <v>12</v>
      </c>
      <c r="J13" s="5">
        <v>17750</v>
      </c>
      <c r="K13" s="188"/>
      <c r="L13" s="4" t="s">
        <v>15</v>
      </c>
      <c r="M13" s="5">
        <v>12997.116666666667</v>
      </c>
    </row>
    <row r="14" spans="2:13" x14ac:dyDescent="0.2">
      <c r="B14" s="155" t="s">
        <v>17</v>
      </c>
      <c r="C14" s="178"/>
      <c r="D14" s="179"/>
      <c r="E14" s="188"/>
      <c r="F14" s="178"/>
      <c r="G14" s="179"/>
      <c r="H14" s="188"/>
      <c r="I14" s="184" t="s">
        <v>13</v>
      </c>
      <c r="J14" s="168">
        <v>9540</v>
      </c>
      <c r="K14" s="188"/>
      <c r="L14" s="157" t="s">
        <v>14</v>
      </c>
      <c r="M14" s="168">
        <v>50603.427986111114</v>
      </c>
    </row>
    <row r="15" spans="2:13" ht="40" customHeight="1" x14ac:dyDescent="0.2">
      <c r="B15" s="161"/>
      <c r="C15" s="180"/>
      <c r="D15" s="181"/>
      <c r="E15" s="188"/>
      <c r="F15" s="180"/>
      <c r="G15" s="181"/>
      <c r="H15" s="188"/>
      <c r="I15" s="185"/>
      <c r="J15" s="169"/>
      <c r="K15" s="188"/>
      <c r="L15" s="159"/>
      <c r="M15" s="169"/>
    </row>
    <row r="16" spans="2:13" ht="29" customHeight="1" x14ac:dyDescent="0.2">
      <c r="B16" s="161"/>
      <c r="C16" s="180"/>
      <c r="D16" s="181"/>
      <c r="E16" s="188"/>
      <c r="F16" s="180"/>
      <c r="G16" s="181"/>
      <c r="H16" s="188"/>
      <c r="I16" s="186"/>
      <c r="J16" s="177"/>
      <c r="K16" s="188"/>
      <c r="L16" s="157" t="s">
        <v>15</v>
      </c>
      <c r="M16" s="168">
        <v>13711.366666666667</v>
      </c>
    </row>
    <row r="17" spans="2:13" ht="30" x14ac:dyDescent="0.2">
      <c r="B17" s="156"/>
      <c r="C17" s="182"/>
      <c r="D17" s="183"/>
      <c r="E17" s="188"/>
      <c r="F17" s="182"/>
      <c r="G17" s="183"/>
      <c r="H17" s="188"/>
      <c r="I17" s="4" t="s">
        <v>12</v>
      </c>
      <c r="J17" s="5">
        <v>16000</v>
      </c>
      <c r="K17" s="188"/>
      <c r="L17" s="159"/>
      <c r="M17" s="169"/>
    </row>
    <row r="18" spans="2:13" x14ac:dyDescent="0.2">
      <c r="B18" s="155" t="s">
        <v>18</v>
      </c>
      <c r="C18" s="178"/>
      <c r="D18" s="179"/>
      <c r="E18" s="188"/>
      <c r="F18" s="178"/>
      <c r="G18" s="179"/>
      <c r="H18" s="188"/>
      <c r="I18" s="184" t="s">
        <v>13</v>
      </c>
      <c r="J18" s="168">
        <v>13063.888888888889</v>
      </c>
      <c r="K18" s="188"/>
      <c r="L18" s="157" t="s">
        <v>14</v>
      </c>
      <c r="M18" s="168">
        <v>152241.33253968254</v>
      </c>
    </row>
    <row r="19" spans="2:13" ht="43.5" customHeight="1" x14ac:dyDescent="0.2">
      <c r="B19" s="161"/>
      <c r="C19" s="180"/>
      <c r="D19" s="181"/>
      <c r="E19" s="188"/>
      <c r="F19" s="180"/>
      <c r="G19" s="181"/>
      <c r="H19" s="188"/>
      <c r="I19" s="186"/>
      <c r="J19" s="177"/>
      <c r="K19" s="188"/>
      <c r="L19" s="159"/>
      <c r="M19" s="177"/>
    </row>
    <row r="20" spans="2:13" ht="30" x14ac:dyDescent="0.2">
      <c r="B20" s="156"/>
      <c r="C20" s="182"/>
      <c r="D20" s="183"/>
      <c r="E20" s="188"/>
      <c r="F20" s="182"/>
      <c r="G20" s="183"/>
      <c r="H20" s="188"/>
      <c r="I20" s="4" t="s">
        <v>12</v>
      </c>
      <c r="J20" s="5">
        <v>55638.888888888891</v>
      </c>
      <c r="K20" s="188"/>
      <c r="L20" s="4" t="s">
        <v>15</v>
      </c>
      <c r="M20" s="5">
        <v>17125.133333333331</v>
      </c>
    </row>
    <row r="21" spans="2:13" x14ac:dyDescent="0.2">
      <c r="B21" s="155" t="s">
        <v>19</v>
      </c>
      <c r="C21" s="157" t="s">
        <v>12</v>
      </c>
      <c r="D21" s="168">
        <v>33527.777777777781</v>
      </c>
      <c r="E21" s="188"/>
      <c r="F21" s="178"/>
      <c r="G21" s="179"/>
      <c r="H21" s="188"/>
      <c r="I21" s="184" t="s">
        <v>13</v>
      </c>
      <c r="J21" s="168">
        <v>10675</v>
      </c>
      <c r="K21" s="188"/>
      <c r="L21" s="157" t="s">
        <v>14</v>
      </c>
      <c r="M21" s="168">
        <v>96887.308333333334</v>
      </c>
    </row>
    <row r="22" spans="2:13" ht="56" customHeight="1" x14ac:dyDescent="0.2">
      <c r="B22" s="161"/>
      <c r="C22" s="158"/>
      <c r="D22" s="169"/>
      <c r="E22" s="188"/>
      <c r="F22" s="180"/>
      <c r="G22" s="181"/>
      <c r="H22" s="188"/>
      <c r="I22" s="185"/>
      <c r="J22" s="169"/>
      <c r="K22" s="188"/>
      <c r="L22" s="159"/>
      <c r="M22" s="169"/>
    </row>
    <row r="23" spans="2:13" ht="23" customHeight="1" x14ac:dyDescent="0.2">
      <c r="B23" s="156"/>
      <c r="C23" s="159"/>
      <c r="D23" s="177"/>
      <c r="E23" s="188"/>
      <c r="F23" s="182"/>
      <c r="G23" s="183"/>
      <c r="H23" s="188"/>
      <c r="I23" s="186"/>
      <c r="J23" s="177"/>
      <c r="K23" s="188"/>
      <c r="L23" s="4" t="s">
        <v>15</v>
      </c>
      <c r="M23" s="5">
        <v>14866.6</v>
      </c>
    </row>
    <row r="24" spans="2:13" x14ac:dyDescent="0.2">
      <c r="B24" s="155" t="s">
        <v>20</v>
      </c>
      <c r="C24" s="157" t="s">
        <v>12</v>
      </c>
      <c r="D24" s="168">
        <v>14111.111111111111</v>
      </c>
      <c r="E24" s="188"/>
      <c r="F24" s="178"/>
      <c r="G24" s="179"/>
      <c r="H24" s="188"/>
      <c r="I24" s="184" t="s">
        <v>13</v>
      </c>
      <c r="J24" s="168">
        <v>11711.111111111111</v>
      </c>
      <c r="K24" s="188"/>
      <c r="L24" s="157" t="s">
        <v>14</v>
      </c>
      <c r="M24" s="168">
        <v>49780.995238095238</v>
      </c>
    </row>
    <row r="25" spans="2:13" ht="59.5" customHeight="1" x14ac:dyDescent="0.2">
      <c r="B25" s="161"/>
      <c r="C25" s="158"/>
      <c r="D25" s="169"/>
      <c r="E25" s="188"/>
      <c r="F25" s="180"/>
      <c r="G25" s="181"/>
      <c r="H25" s="188"/>
      <c r="I25" s="185"/>
      <c r="J25" s="169"/>
      <c r="K25" s="188"/>
      <c r="L25" s="159"/>
      <c r="M25" s="169"/>
    </row>
    <row r="26" spans="2:13" ht="27.5" customHeight="1" x14ac:dyDescent="0.2">
      <c r="B26" s="156"/>
      <c r="C26" s="159"/>
      <c r="D26" s="177"/>
      <c r="E26" s="188"/>
      <c r="F26" s="182"/>
      <c r="G26" s="183"/>
      <c r="H26" s="188"/>
      <c r="I26" s="186"/>
      <c r="J26" s="177"/>
      <c r="K26" s="188"/>
      <c r="L26" s="4" t="s">
        <v>15</v>
      </c>
      <c r="M26" s="5">
        <v>16611.400000000001</v>
      </c>
    </row>
    <row r="27" spans="2:13" ht="29" customHeight="1" x14ac:dyDescent="0.2">
      <c r="B27" s="155" t="s">
        <v>21</v>
      </c>
      <c r="C27" s="157" t="s">
        <v>12</v>
      </c>
      <c r="D27" s="168">
        <v>13444.444444444445</v>
      </c>
      <c r="E27" s="188"/>
      <c r="F27" s="178"/>
      <c r="G27" s="179"/>
      <c r="H27" s="188"/>
      <c r="I27" s="184" t="s">
        <v>13</v>
      </c>
      <c r="J27" s="168">
        <v>8099.4444444444443</v>
      </c>
      <c r="K27" s="188"/>
      <c r="L27" s="157" t="s">
        <v>14</v>
      </c>
      <c r="M27" s="168">
        <v>42710.688888888886</v>
      </c>
    </row>
    <row r="28" spans="2:13" ht="30.5" customHeight="1" x14ac:dyDescent="0.2">
      <c r="B28" s="161"/>
      <c r="C28" s="158"/>
      <c r="D28" s="169"/>
      <c r="E28" s="188"/>
      <c r="F28" s="180"/>
      <c r="G28" s="181"/>
      <c r="H28" s="188"/>
      <c r="I28" s="185"/>
      <c r="J28" s="169"/>
      <c r="K28" s="188"/>
      <c r="L28" s="159"/>
      <c r="M28" s="169"/>
    </row>
    <row r="29" spans="2:13" ht="22" customHeight="1" x14ac:dyDescent="0.2">
      <c r="B29" s="156"/>
      <c r="C29" s="159"/>
      <c r="D29" s="177"/>
      <c r="E29" s="188"/>
      <c r="F29" s="182"/>
      <c r="G29" s="183"/>
      <c r="H29" s="188"/>
      <c r="I29" s="186"/>
      <c r="J29" s="177"/>
      <c r="K29" s="188"/>
      <c r="L29" s="4" t="s">
        <v>15</v>
      </c>
      <c r="M29" s="5">
        <v>11021.733333333334</v>
      </c>
    </row>
    <row r="30" spans="2:13" x14ac:dyDescent="0.2">
      <c r="B30" s="155" t="s">
        <v>22</v>
      </c>
      <c r="C30" s="157" t="s">
        <v>12</v>
      </c>
      <c r="D30" s="168">
        <v>2305.5555555555557</v>
      </c>
      <c r="E30" s="188"/>
      <c r="F30" s="178"/>
      <c r="G30" s="179"/>
      <c r="H30" s="188"/>
      <c r="I30" s="184" t="s">
        <v>13</v>
      </c>
      <c r="J30" s="168">
        <v>15476.666666666666</v>
      </c>
      <c r="K30" s="188"/>
      <c r="L30" s="157" t="s">
        <v>14</v>
      </c>
      <c r="M30" s="168">
        <v>83233.632738095228</v>
      </c>
    </row>
    <row r="31" spans="2:13" ht="39" customHeight="1" x14ac:dyDescent="0.2">
      <c r="B31" s="161"/>
      <c r="C31" s="158"/>
      <c r="D31" s="169"/>
      <c r="E31" s="188"/>
      <c r="F31" s="180"/>
      <c r="G31" s="181"/>
      <c r="H31" s="188"/>
      <c r="I31" s="185"/>
      <c r="J31" s="169"/>
      <c r="K31" s="188"/>
      <c r="L31" s="159"/>
      <c r="M31" s="169"/>
    </row>
    <row r="32" spans="2:13" ht="29" customHeight="1" x14ac:dyDescent="0.2">
      <c r="B32" s="161"/>
      <c r="C32" s="158"/>
      <c r="D32" s="169"/>
      <c r="E32" s="188"/>
      <c r="F32" s="180"/>
      <c r="G32" s="181"/>
      <c r="H32" s="188"/>
      <c r="I32" s="186"/>
      <c r="J32" s="177"/>
      <c r="K32" s="188"/>
      <c r="L32" s="157" t="s">
        <v>15</v>
      </c>
      <c r="M32" s="168">
        <v>19859.766666666666</v>
      </c>
    </row>
    <row r="33" spans="2:14" ht="30" x14ac:dyDescent="0.2">
      <c r="B33" s="156"/>
      <c r="C33" s="159"/>
      <c r="D33" s="177"/>
      <c r="E33" s="188"/>
      <c r="F33" s="182"/>
      <c r="G33" s="183"/>
      <c r="H33" s="188"/>
      <c r="I33" s="4" t="s">
        <v>12</v>
      </c>
      <c r="J33" s="5">
        <v>23777.777777777774</v>
      </c>
      <c r="K33" s="188"/>
      <c r="L33" s="159"/>
      <c r="M33" s="169"/>
    </row>
    <row r="34" spans="2:14" x14ac:dyDescent="0.2">
      <c r="B34" s="13" t="s">
        <v>23</v>
      </c>
      <c r="C34" s="170">
        <f>D30+D27+D24+D21+D8+D7+D6+D5</f>
        <v>126651.05555555555</v>
      </c>
      <c r="D34" s="171"/>
      <c r="E34" s="189"/>
      <c r="F34" s="172">
        <f>0</f>
        <v>0</v>
      </c>
      <c r="G34" s="173"/>
      <c r="H34" s="189"/>
      <c r="I34" s="170">
        <f>J33+J30+J27+J24+J21+J20+J18+J17+J14+J13+J11+J8+J5</f>
        <v>211856.11111111112</v>
      </c>
      <c r="J34" s="171"/>
      <c r="K34" s="189"/>
      <c r="L34" s="170">
        <f>M32+M30+M29+M27+M26+M24+M23+M21+M20+M18+M16+M14+M13+M11+M10+M8+M5</f>
        <v>777149.13889880944</v>
      </c>
      <c r="M34" s="171"/>
    </row>
    <row r="35" spans="2:14" ht="19" x14ac:dyDescent="0.25">
      <c r="B35" s="8" t="s">
        <v>40</v>
      </c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5">
        <f>L34+I34+F34+C34</f>
        <v>1115656.3055654762</v>
      </c>
    </row>
    <row r="36" spans="2:14" x14ac:dyDescent="0.2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4" x14ac:dyDescent="0.2">
      <c r="B37" s="9"/>
    </row>
  </sheetData>
  <mergeCells count="82">
    <mergeCell ref="B5:B7"/>
    <mergeCell ref="J5:J7"/>
    <mergeCell ref="C2:M2"/>
    <mergeCell ref="C3:D3"/>
    <mergeCell ref="F3:G3"/>
    <mergeCell ref="I3:J3"/>
    <mergeCell ref="L3:M3"/>
    <mergeCell ref="L5:M7"/>
    <mergeCell ref="B8:B10"/>
    <mergeCell ref="C8:C10"/>
    <mergeCell ref="D8:D10"/>
    <mergeCell ref="I8:I10"/>
    <mergeCell ref="J8:J10"/>
    <mergeCell ref="L8:L9"/>
    <mergeCell ref="M8:M9"/>
    <mergeCell ref="E3:E34"/>
    <mergeCell ref="H3:H34"/>
    <mergeCell ref="K3:K34"/>
    <mergeCell ref="F5:G10"/>
    <mergeCell ref="I5:I7"/>
    <mergeCell ref="L30:L31"/>
    <mergeCell ref="M30:M31"/>
    <mergeCell ref="L32:L33"/>
    <mergeCell ref="J11:J12"/>
    <mergeCell ref="L11:L12"/>
    <mergeCell ref="M11:M12"/>
    <mergeCell ref="L14:L15"/>
    <mergeCell ref="M14:M15"/>
    <mergeCell ref="M16:M17"/>
    <mergeCell ref="B11:B13"/>
    <mergeCell ref="C11:D13"/>
    <mergeCell ref="F11:G13"/>
    <mergeCell ref="I11:I12"/>
    <mergeCell ref="L16:L17"/>
    <mergeCell ref="B14:B17"/>
    <mergeCell ref="C14:D17"/>
    <mergeCell ref="F14:G17"/>
    <mergeCell ref="I14:I16"/>
    <mergeCell ref="J14:J16"/>
    <mergeCell ref="B18:B20"/>
    <mergeCell ref="C18:D20"/>
    <mergeCell ref="F18:G20"/>
    <mergeCell ref="I18:I19"/>
    <mergeCell ref="J18:J19"/>
    <mergeCell ref="L18:L19"/>
    <mergeCell ref="M18:M19"/>
    <mergeCell ref="I21:I23"/>
    <mergeCell ref="J21:J23"/>
    <mergeCell ref="L21:L22"/>
    <mergeCell ref="M21:M22"/>
    <mergeCell ref="I24:I26"/>
    <mergeCell ref="I30:I32"/>
    <mergeCell ref="J30:J32"/>
    <mergeCell ref="B21:B23"/>
    <mergeCell ref="C21:C23"/>
    <mergeCell ref="D21:D23"/>
    <mergeCell ref="F21:G23"/>
    <mergeCell ref="B24:B26"/>
    <mergeCell ref="C24:C26"/>
    <mergeCell ref="D24:D26"/>
    <mergeCell ref="F24:G26"/>
    <mergeCell ref="C35:M35"/>
    <mergeCell ref="L24:L25"/>
    <mergeCell ref="M24:M25"/>
    <mergeCell ref="B27:B29"/>
    <mergeCell ref="C27:C29"/>
    <mergeCell ref="D27:D29"/>
    <mergeCell ref="F27:G29"/>
    <mergeCell ref="I27:I29"/>
    <mergeCell ref="J27:J29"/>
    <mergeCell ref="L27:L28"/>
    <mergeCell ref="M27:M28"/>
    <mergeCell ref="B30:B33"/>
    <mergeCell ref="C30:C33"/>
    <mergeCell ref="D30:D33"/>
    <mergeCell ref="F30:G33"/>
    <mergeCell ref="J24:J26"/>
    <mergeCell ref="M32:M33"/>
    <mergeCell ref="C34:D34"/>
    <mergeCell ref="F34:G34"/>
    <mergeCell ref="I34:J34"/>
    <mergeCell ref="L34:M3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B3" sqref="B3:D13"/>
    </sheetView>
  </sheetViews>
  <sheetFormatPr baseColWidth="10" defaultColWidth="8.83203125" defaultRowHeight="15" x14ac:dyDescent="0.2"/>
  <cols>
    <col min="2" max="2" width="45.5" customWidth="1"/>
    <col min="3" max="4" width="20" customWidth="1"/>
  </cols>
  <sheetData>
    <row r="2" spans="2:4" ht="16" thickBot="1" x14ac:dyDescent="0.25"/>
    <row r="3" spans="2:4" ht="16" thickBot="1" x14ac:dyDescent="0.25">
      <c r="B3" s="105" t="s">
        <v>195</v>
      </c>
      <c r="C3" s="106" t="s">
        <v>196</v>
      </c>
      <c r="D3" s="106" t="s">
        <v>197</v>
      </c>
    </row>
    <row r="4" spans="2:4" x14ac:dyDescent="0.2">
      <c r="B4" s="107" t="s">
        <v>246</v>
      </c>
      <c r="C4" s="196" t="s">
        <v>248</v>
      </c>
      <c r="D4" s="198">
        <v>0.79</v>
      </c>
    </row>
    <row r="5" spans="2:4" ht="31" thickBot="1" x14ac:dyDescent="0.25">
      <c r="B5" s="108" t="s">
        <v>247</v>
      </c>
      <c r="C5" s="197"/>
      <c r="D5" s="199"/>
    </row>
    <row r="6" spans="2:4" x14ac:dyDescent="0.2">
      <c r="B6" s="107" t="s">
        <v>249</v>
      </c>
      <c r="C6" s="200" t="s">
        <v>252</v>
      </c>
      <c r="D6" s="198">
        <v>0.15</v>
      </c>
    </row>
    <row r="7" spans="2:4" x14ac:dyDescent="0.2">
      <c r="B7" s="109" t="s">
        <v>250</v>
      </c>
      <c r="C7" s="201"/>
      <c r="D7" s="203"/>
    </row>
    <row r="8" spans="2:4" ht="16" thickBot="1" x14ac:dyDescent="0.25">
      <c r="B8" s="108" t="s">
        <v>251</v>
      </c>
      <c r="C8" s="202"/>
      <c r="D8" s="199"/>
    </row>
    <row r="9" spans="2:4" x14ac:dyDescent="0.2">
      <c r="B9" s="107" t="s">
        <v>201</v>
      </c>
      <c r="C9" s="196" t="s">
        <v>256</v>
      </c>
      <c r="D9" s="198">
        <v>0.05</v>
      </c>
    </row>
    <row r="10" spans="2:4" x14ac:dyDescent="0.2">
      <c r="B10" s="109" t="s">
        <v>253</v>
      </c>
      <c r="C10" s="204"/>
      <c r="D10" s="203"/>
    </row>
    <row r="11" spans="2:4" x14ac:dyDescent="0.2">
      <c r="B11" s="109" t="s">
        <v>254</v>
      </c>
      <c r="C11" s="204"/>
      <c r="D11" s="203"/>
    </row>
    <row r="12" spans="2:4" ht="16" thickBot="1" x14ac:dyDescent="0.25">
      <c r="B12" s="108" t="s">
        <v>255</v>
      </c>
      <c r="C12" s="197"/>
      <c r="D12" s="199"/>
    </row>
    <row r="13" spans="2:4" ht="16" thickBot="1" x14ac:dyDescent="0.25">
      <c r="B13" s="110" t="s">
        <v>244</v>
      </c>
      <c r="C13" s="111" t="s">
        <v>257</v>
      </c>
      <c r="D13" s="112">
        <v>1</v>
      </c>
    </row>
  </sheetData>
  <mergeCells count="6">
    <mergeCell ref="C4:C5"/>
    <mergeCell ref="D4:D5"/>
    <mergeCell ref="C6:C8"/>
    <mergeCell ref="D6:D8"/>
    <mergeCell ref="C9:C12"/>
    <mergeCell ref="D9: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3"/>
  <sheetViews>
    <sheetView topLeftCell="A28" workbookViewId="0">
      <selection activeCell="M47" activeCellId="5" sqref="M37 M39 M41 M43 M45 M47"/>
    </sheetView>
  </sheetViews>
  <sheetFormatPr baseColWidth="10" defaultColWidth="9.1640625" defaultRowHeight="15" x14ac:dyDescent="0.2"/>
  <cols>
    <col min="1" max="1" width="9.1640625" style="1"/>
    <col min="2" max="2" width="17.5" style="1" customWidth="1"/>
    <col min="3" max="3" width="22.1640625" style="11" customWidth="1"/>
    <col min="4" max="4" width="11.83203125" style="11" customWidth="1"/>
    <col min="5" max="5" width="1" style="11" customWidth="1"/>
    <col min="6" max="6" width="20.83203125" style="11" customWidth="1"/>
    <col min="7" max="7" width="12.33203125" style="11" customWidth="1"/>
    <col min="8" max="8" width="0.83203125" style="11" customWidth="1"/>
    <col min="9" max="9" width="20.83203125" style="11" customWidth="1"/>
    <col min="10" max="10" width="12.5" style="11" customWidth="1"/>
    <col min="11" max="11" width="0.83203125" style="11" customWidth="1"/>
    <col min="12" max="12" width="23.1640625" style="11" customWidth="1"/>
    <col min="13" max="13" width="12.5" style="11" customWidth="1"/>
    <col min="14" max="14" width="13.83203125" style="1" bestFit="1" customWidth="1"/>
    <col min="15" max="16384" width="9.1640625" style="1"/>
  </cols>
  <sheetData>
    <row r="2" spans="2:13" x14ac:dyDescent="0.2">
      <c r="B2" s="9"/>
    </row>
    <row r="3" spans="2:13" ht="19" x14ac:dyDescent="0.2">
      <c r="B3" s="9"/>
      <c r="C3" s="239" t="s">
        <v>0</v>
      </c>
      <c r="D3" s="240"/>
      <c r="E3" s="240"/>
      <c r="F3" s="240"/>
      <c r="G3" s="240"/>
      <c r="H3" s="240"/>
      <c r="I3" s="240"/>
      <c r="J3" s="240"/>
      <c r="K3" s="240"/>
      <c r="L3" s="240"/>
      <c r="M3" s="241"/>
    </row>
    <row r="4" spans="2:13" ht="19" x14ac:dyDescent="0.2">
      <c r="B4" s="9"/>
      <c r="C4" s="242" t="s">
        <v>1</v>
      </c>
      <c r="D4" s="243"/>
      <c r="E4" s="113"/>
      <c r="F4" s="242" t="s">
        <v>2</v>
      </c>
      <c r="G4" s="243"/>
      <c r="H4" s="114"/>
      <c r="I4" s="242" t="s">
        <v>3</v>
      </c>
      <c r="J4" s="243"/>
      <c r="K4" s="114"/>
      <c r="L4" s="242" t="s">
        <v>4</v>
      </c>
      <c r="M4" s="243"/>
    </row>
    <row r="5" spans="2:13" ht="59.25" customHeight="1" x14ac:dyDescent="0.2">
      <c r="B5" s="12" t="s">
        <v>5</v>
      </c>
      <c r="C5" s="3" t="s">
        <v>6</v>
      </c>
      <c r="D5" s="3" t="s">
        <v>258</v>
      </c>
      <c r="E5" s="3"/>
      <c r="F5" s="3" t="s">
        <v>6</v>
      </c>
      <c r="G5" s="3" t="s">
        <v>258</v>
      </c>
      <c r="H5" s="3"/>
      <c r="I5" s="3" t="s">
        <v>6</v>
      </c>
      <c r="J5" s="3" t="s">
        <v>258</v>
      </c>
      <c r="K5" s="3"/>
      <c r="L5" s="3" t="s">
        <v>6</v>
      </c>
      <c r="M5" s="3" t="s">
        <v>258</v>
      </c>
    </row>
    <row r="6" spans="2:13" x14ac:dyDescent="0.2">
      <c r="B6" s="155" t="s">
        <v>8</v>
      </c>
      <c r="C6" s="115" t="s">
        <v>259</v>
      </c>
      <c r="D6" s="116">
        <f>1678040+3132200+1703200</f>
        <v>6513440</v>
      </c>
      <c r="E6" s="244"/>
      <c r="F6" s="221"/>
      <c r="G6" s="222"/>
      <c r="H6" s="247"/>
      <c r="I6" s="250" t="s">
        <v>260</v>
      </c>
      <c r="J6" s="233">
        <v>189117218</v>
      </c>
      <c r="K6" s="236"/>
      <c r="L6" s="227"/>
      <c r="M6" s="228"/>
    </row>
    <row r="7" spans="2:13" x14ac:dyDescent="0.2">
      <c r="B7" s="161"/>
      <c r="C7" s="115" t="s">
        <v>261</v>
      </c>
      <c r="D7" s="116">
        <v>3817536</v>
      </c>
      <c r="E7" s="245"/>
      <c r="F7" s="223"/>
      <c r="G7" s="224"/>
      <c r="H7" s="248"/>
      <c r="I7" s="251"/>
      <c r="J7" s="234"/>
      <c r="K7" s="237"/>
      <c r="L7" s="229"/>
      <c r="M7" s="230"/>
    </row>
    <row r="8" spans="2:13" x14ac:dyDescent="0.2">
      <c r="B8" s="161"/>
      <c r="C8" s="115" t="s">
        <v>262</v>
      </c>
      <c r="D8" s="116">
        <v>663262</v>
      </c>
      <c r="E8" s="245"/>
      <c r="F8" s="223"/>
      <c r="G8" s="224"/>
      <c r="H8" s="248"/>
      <c r="I8" s="251"/>
      <c r="J8" s="234"/>
      <c r="K8" s="237"/>
      <c r="L8" s="229"/>
      <c r="M8" s="230"/>
    </row>
    <row r="9" spans="2:13" ht="30" x14ac:dyDescent="0.2">
      <c r="B9" s="161"/>
      <c r="C9" s="117" t="s">
        <v>263</v>
      </c>
      <c r="D9" s="116">
        <v>3240000</v>
      </c>
      <c r="E9" s="245"/>
      <c r="F9" s="225"/>
      <c r="G9" s="226"/>
      <c r="H9" s="248"/>
      <c r="I9" s="252"/>
      <c r="J9" s="235"/>
      <c r="K9" s="237"/>
      <c r="L9" s="231"/>
      <c r="M9" s="232"/>
    </row>
    <row r="10" spans="2:13" ht="16" x14ac:dyDescent="0.2">
      <c r="B10" s="118"/>
      <c r="C10" s="213"/>
      <c r="D10" s="214"/>
      <c r="E10" s="245"/>
      <c r="F10" s="213"/>
      <c r="G10" s="214"/>
      <c r="H10" s="248"/>
      <c r="I10" s="215"/>
      <c r="J10" s="216"/>
      <c r="K10" s="237"/>
      <c r="L10" s="215"/>
      <c r="M10" s="216"/>
    </row>
    <row r="11" spans="2:13" x14ac:dyDescent="0.2">
      <c r="B11" s="155" t="s">
        <v>264</v>
      </c>
      <c r="C11" s="115" t="s">
        <v>265</v>
      </c>
      <c r="D11" s="116">
        <v>17940000</v>
      </c>
      <c r="E11" s="245"/>
      <c r="F11" s="221"/>
      <c r="G11" s="222"/>
      <c r="H11" s="248"/>
      <c r="I11" s="227"/>
      <c r="J11" s="228"/>
      <c r="K11" s="237"/>
      <c r="L11" s="227"/>
      <c r="M11" s="228"/>
    </row>
    <row r="12" spans="2:13" x14ac:dyDescent="0.2">
      <c r="B12" s="161"/>
      <c r="C12" s="115" t="s">
        <v>266</v>
      </c>
      <c r="D12" s="116">
        <v>6937600</v>
      </c>
      <c r="E12" s="245"/>
      <c r="F12" s="223"/>
      <c r="G12" s="224"/>
      <c r="H12" s="248"/>
      <c r="I12" s="229"/>
      <c r="J12" s="230"/>
      <c r="K12" s="237"/>
      <c r="L12" s="229"/>
      <c r="M12" s="230"/>
    </row>
    <row r="13" spans="2:13" x14ac:dyDescent="0.2">
      <c r="B13" s="161"/>
      <c r="C13" s="115" t="s">
        <v>267</v>
      </c>
      <c r="D13" s="116">
        <v>2629000</v>
      </c>
      <c r="E13" s="245"/>
      <c r="F13" s="223"/>
      <c r="G13" s="224"/>
      <c r="H13" s="248"/>
      <c r="I13" s="229"/>
      <c r="J13" s="230"/>
      <c r="K13" s="237"/>
      <c r="L13" s="229"/>
      <c r="M13" s="230"/>
    </row>
    <row r="14" spans="2:13" ht="30" x14ac:dyDescent="0.2">
      <c r="B14" s="161"/>
      <c r="C14" s="117" t="s">
        <v>268</v>
      </c>
      <c r="D14" s="116">
        <v>1385994</v>
      </c>
      <c r="E14" s="245"/>
      <c r="F14" s="223"/>
      <c r="G14" s="224"/>
      <c r="H14" s="248"/>
      <c r="I14" s="229"/>
      <c r="J14" s="230"/>
      <c r="K14" s="237"/>
      <c r="L14" s="229"/>
      <c r="M14" s="230"/>
    </row>
    <row r="15" spans="2:13" x14ac:dyDescent="0.2">
      <c r="B15" s="161"/>
      <c r="C15" s="117" t="s">
        <v>269</v>
      </c>
      <c r="D15" s="116">
        <v>1280000</v>
      </c>
      <c r="E15" s="245"/>
      <c r="F15" s="223"/>
      <c r="G15" s="224"/>
      <c r="H15" s="248"/>
      <c r="I15" s="229"/>
      <c r="J15" s="230"/>
      <c r="K15" s="237"/>
      <c r="L15" s="229"/>
      <c r="M15" s="230"/>
    </row>
    <row r="16" spans="2:13" x14ac:dyDescent="0.2">
      <c r="B16" s="161"/>
      <c r="C16" s="117" t="s">
        <v>270</v>
      </c>
      <c r="D16" s="116">
        <v>3406400</v>
      </c>
      <c r="E16" s="245"/>
      <c r="F16" s="223"/>
      <c r="G16" s="224"/>
      <c r="H16" s="248"/>
      <c r="I16" s="229"/>
      <c r="J16" s="230"/>
      <c r="K16" s="237"/>
      <c r="L16" s="229"/>
      <c r="M16" s="230"/>
    </row>
    <row r="17" spans="2:13" ht="30" x14ac:dyDescent="0.2">
      <c r="B17" s="156"/>
      <c r="C17" s="117" t="s">
        <v>271</v>
      </c>
      <c r="D17" s="116">
        <v>1280000</v>
      </c>
      <c r="E17" s="245"/>
      <c r="F17" s="225"/>
      <c r="G17" s="226"/>
      <c r="H17" s="248"/>
      <c r="I17" s="231"/>
      <c r="J17" s="232"/>
      <c r="K17" s="237"/>
      <c r="L17" s="231"/>
      <c r="M17" s="232"/>
    </row>
    <row r="18" spans="2:13" ht="16" x14ac:dyDescent="0.2">
      <c r="B18" s="118"/>
      <c r="C18" s="213"/>
      <c r="D18" s="214"/>
      <c r="E18" s="245"/>
      <c r="F18" s="213"/>
      <c r="G18" s="214"/>
      <c r="H18" s="248"/>
      <c r="I18" s="124"/>
      <c r="J18" s="124"/>
      <c r="K18" s="237"/>
      <c r="L18" s="215"/>
      <c r="M18" s="216"/>
    </row>
    <row r="19" spans="2:13" ht="30" customHeight="1" x14ac:dyDescent="0.2">
      <c r="B19" s="103" t="s">
        <v>272</v>
      </c>
      <c r="C19" s="119"/>
      <c r="D19" s="120"/>
      <c r="E19" s="245"/>
      <c r="F19" s="217"/>
      <c r="G19" s="218"/>
      <c r="H19" s="248"/>
      <c r="I19" s="125" t="s">
        <v>273</v>
      </c>
      <c r="J19" s="126">
        <v>50160900</v>
      </c>
      <c r="K19" s="237"/>
      <c r="L19" s="219"/>
      <c r="M19" s="220"/>
    </row>
    <row r="20" spans="2:13" ht="16" x14ac:dyDescent="0.2">
      <c r="B20" s="118"/>
      <c r="C20" s="213"/>
      <c r="D20" s="214"/>
      <c r="E20" s="245"/>
      <c r="F20" s="213"/>
      <c r="G20" s="214"/>
      <c r="H20" s="248"/>
      <c r="I20" s="124"/>
      <c r="J20" s="124"/>
      <c r="K20" s="237"/>
      <c r="L20" s="215"/>
      <c r="M20" s="216"/>
    </row>
    <row r="21" spans="2:13" x14ac:dyDescent="0.2">
      <c r="B21" s="155" t="s">
        <v>274</v>
      </c>
      <c r="C21" s="115" t="s">
        <v>265</v>
      </c>
      <c r="D21" s="116">
        <v>28500000</v>
      </c>
      <c r="E21" s="245"/>
      <c r="F21" s="221"/>
      <c r="G21" s="222"/>
      <c r="H21" s="248"/>
      <c r="I21" s="227"/>
      <c r="J21" s="228"/>
      <c r="K21" s="237"/>
      <c r="L21" s="227"/>
      <c r="M21" s="228"/>
    </row>
    <row r="22" spans="2:13" x14ac:dyDescent="0.2">
      <c r="B22" s="161"/>
      <c r="C22" s="115" t="s">
        <v>266</v>
      </c>
      <c r="D22" s="116">
        <v>6170100</v>
      </c>
      <c r="E22" s="245"/>
      <c r="F22" s="223"/>
      <c r="G22" s="224"/>
      <c r="H22" s="248"/>
      <c r="I22" s="229"/>
      <c r="J22" s="230"/>
      <c r="K22" s="237"/>
      <c r="L22" s="229"/>
      <c r="M22" s="230"/>
    </row>
    <row r="23" spans="2:13" x14ac:dyDescent="0.2">
      <c r="B23" s="161"/>
      <c r="C23" s="115" t="s">
        <v>267</v>
      </c>
      <c r="D23" s="116">
        <v>704131</v>
      </c>
      <c r="E23" s="245"/>
      <c r="F23" s="223"/>
      <c r="G23" s="224"/>
      <c r="H23" s="248"/>
      <c r="I23" s="229"/>
      <c r="J23" s="230"/>
      <c r="K23" s="237"/>
      <c r="L23" s="229"/>
      <c r="M23" s="230"/>
    </row>
    <row r="24" spans="2:13" ht="30" x14ac:dyDescent="0.2">
      <c r="B24" s="161"/>
      <c r="C24" s="117" t="s">
        <v>268</v>
      </c>
      <c r="D24" s="116">
        <v>704131</v>
      </c>
      <c r="E24" s="245"/>
      <c r="F24" s="223"/>
      <c r="G24" s="224"/>
      <c r="H24" s="248"/>
      <c r="I24" s="229"/>
      <c r="J24" s="230"/>
      <c r="K24" s="237"/>
      <c r="L24" s="229"/>
      <c r="M24" s="230"/>
    </row>
    <row r="25" spans="2:13" x14ac:dyDescent="0.2">
      <c r="B25" s="161"/>
      <c r="C25" s="117" t="s">
        <v>269</v>
      </c>
      <c r="D25" s="116">
        <v>1310000</v>
      </c>
      <c r="E25" s="245"/>
      <c r="F25" s="223"/>
      <c r="G25" s="224"/>
      <c r="H25" s="248"/>
      <c r="I25" s="229"/>
      <c r="J25" s="230"/>
      <c r="K25" s="237"/>
      <c r="L25" s="229"/>
      <c r="M25" s="230"/>
    </row>
    <row r="26" spans="2:13" x14ac:dyDescent="0.2">
      <c r="B26" s="161"/>
      <c r="C26" s="117" t="s">
        <v>270</v>
      </c>
      <c r="D26" s="116">
        <v>3406400</v>
      </c>
      <c r="E26" s="245"/>
      <c r="F26" s="223"/>
      <c r="G26" s="224"/>
      <c r="H26" s="248"/>
      <c r="I26" s="229"/>
      <c r="J26" s="230"/>
      <c r="K26" s="237"/>
      <c r="L26" s="229"/>
      <c r="M26" s="230"/>
    </row>
    <row r="27" spans="2:13" ht="30" x14ac:dyDescent="0.2">
      <c r="B27" s="156"/>
      <c r="C27" s="117" t="s">
        <v>271</v>
      </c>
      <c r="D27" s="116">
        <v>1310000</v>
      </c>
      <c r="E27" s="245"/>
      <c r="F27" s="225"/>
      <c r="G27" s="226"/>
      <c r="H27" s="248"/>
      <c r="I27" s="231"/>
      <c r="J27" s="232"/>
      <c r="K27" s="237"/>
      <c r="L27" s="231"/>
      <c r="M27" s="232"/>
    </row>
    <row r="28" spans="2:13" ht="16" x14ac:dyDescent="0.2">
      <c r="B28" s="118"/>
      <c r="C28" s="213"/>
      <c r="D28" s="214"/>
      <c r="E28" s="245"/>
      <c r="F28" s="213"/>
      <c r="G28" s="214"/>
      <c r="H28" s="248"/>
      <c r="I28" s="215"/>
      <c r="J28" s="216"/>
      <c r="K28" s="237"/>
      <c r="L28" s="215"/>
      <c r="M28" s="216"/>
    </row>
    <row r="29" spans="2:13" x14ac:dyDescent="0.2">
      <c r="B29" s="155" t="s">
        <v>275</v>
      </c>
      <c r="C29" s="115" t="s">
        <v>265</v>
      </c>
      <c r="D29" s="116">
        <v>21260000</v>
      </c>
      <c r="E29" s="245"/>
      <c r="F29" s="221"/>
      <c r="G29" s="222"/>
      <c r="H29" s="248"/>
      <c r="I29" s="227"/>
      <c r="J29" s="228"/>
      <c r="K29" s="237"/>
      <c r="L29" s="227"/>
      <c r="M29" s="228"/>
    </row>
    <row r="30" spans="2:13" x14ac:dyDescent="0.2">
      <c r="B30" s="161"/>
      <c r="C30" s="115" t="s">
        <v>266</v>
      </c>
      <c r="D30" s="116">
        <v>5547100</v>
      </c>
      <c r="E30" s="245"/>
      <c r="F30" s="223"/>
      <c r="G30" s="224"/>
      <c r="H30" s="248"/>
      <c r="I30" s="229"/>
      <c r="J30" s="230"/>
      <c r="K30" s="237"/>
      <c r="L30" s="229"/>
      <c r="M30" s="230"/>
    </row>
    <row r="31" spans="2:13" x14ac:dyDescent="0.2">
      <c r="B31" s="161"/>
      <c r="C31" s="115" t="s">
        <v>267</v>
      </c>
      <c r="D31" s="116">
        <v>2002560</v>
      </c>
      <c r="E31" s="245"/>
      <c r="F31" s="223"/>
      <c r="G31" s="224"/>
      <c r="H31" s="248"/>
      <c r="I31" s="229"/>
      <c r="J31" s="230"/>
      <c r="K31" s="237"/>
      <c r="L31" s="229"/>
      <c r="M31" s="230"/>
    </row>
    <row r="32" spans="2:13" ht="30" x14ac:dyDescent="0.2">
      <c r="B32" s="161"/>
      <c r="C32" s="117" t="s">
        <v>268</v>
      </c>
      <c r="D32" s="116">
        <v>357435</v>
      </c>
      <c r="E32" s="245"/>
      <c r="F32" s="223"/>
      <c r="G32" s="224"/>
      <c r="H32" s="248"/>
      <c r="I32" s="229"/>
      <c r="J32" s="230"/>
      <c r="K32" s="237"/>
      <c r="L32" s="229"/>
      <c r="M32" s="230"/>
    </row>
    <row r="33" spans="2:13" x14ac:dyDescent="0.2">
      <c r="B33" s="161"/>
      <c r="C33" s="117" t="s">
        <v>269</v>
      </c>
      <c r="D33" s="116">
        <v>1030000</v>
      </c>
      <c r="E33" s="245"/>
      <c r="F33" s="223"/>
      <c r="G33" s="224"/>
      <c r="H33" s="248"/>
      <c r="I33" s="229"/>
      <c r="J33" s="230"/>
      <c r="K33" s="237"/>
      <c r="L33" s="229"/>
      <c r="M33" s="230"/>
    </row>
    <row r="34" spans="2:13" x14ac:dyDescent="0.2">
      <c r="B34" s="161"/>
      <c r="C34" s="117" t="s">
        <v>270</v>
      </c>
      <c r="D34" s="116">
        <v>2328850</v>
      </c>
      <c r="E34" s="245"/>
      <c r="F34" s="223"/>
      <c r="G34" s="224"/>
      <c r="H34" s="248"/>
      <c r="I34" s="229"/>
      <c r="J34" s="230"/>
      <c r="K34" s="237"/>
      <c r="L34" s="229"/>
      <c r="M34" s="230"/>
    </row>
    <row r="35" spans="2:13" ht="30" x14ac:dyDescent="0.2">
      <c r="B35" s="156"/>
      <c r="C35" s="117" t="s">
        <v>271</v>
      </c>
      <c r="D35" s="116">
        <v>1030000</v>
      </c>
      <c r="E35" s="245"/>
      <c r="F35" s="225"/>
      <c r="G35" s="226"/>
      <c r="H35" s="248"/>
      <c r="I35" s="231"/>
      <c r="J35" s="232"/>
      <c r="K35" s="237"/>
      <c r="L35" s="231"/>
      <c r="M35" s="232"/>
    </row>
    <row r="36" spans="2:13" ht="16" x14ac:dyDescent="0.2">
      <c r="B36" s="118"/>
      <c r="C36" s="213"/>
      <c r="D36" s="214"/>
      <c r="E36" s="245"/>
      <c r="F36" s="213"/>
      <c r="G36" s="214"/>
      <c r="H36" s="248"/>
      <c r="I36" s="124"/>
      <c r="J36" s="124"/>
      <c r="K36" s="237"/>
      <c r="L36" s="215"/>
      <c r="M36" s="216"/>
    </row>
    <row r="37" spans="2:13" ht="16" x14ac:dyDescent="0.2">
      <c r="B37" s="103" t="s">
        <v>276</v>
      </c>
      <c r="C37" s="217"/>
      <c r="D37" s="218"/>
      <c r="E37" s="245"/>
      <c r="F37" s="217"/>
      <c r="G37" s="218"/>
      <c r="H37" s="248"/>
      <c r="I37" s="125" t="s">
        <v>277</v>
      </c>
      <c r="J37" s="126">
        <v>20960000</v>
      </c>
      <c r="K37" s="237"/>
      <c r="L37" s="127" t="s">
        <v>278</v>
      </c>
      <c r="M37" s="126">
        <v>86000500</v>
      </c>
    </row>
    <row r="38" spans="2:13" ht="16" x14ac:dyDescent="0.2">
      <c r="B38" s="118"/>
      <c r="C38" s="213"/>
      <c r="D38" s="214"/>
      <c r="E38" s="245"/>
      <c r="F38" s="213"/>
      <c r="G38" s="214"/>
      <c r="H38" s="248"/>
      <c r="I38" s="124"/>
      <c r="J38" s="124"/>
      <c r="K38" s="237"/>
      <c r="L38" s="215"/>
      <c r="M38" s="216"/>
    </row>
    <row r="39" spans="2:13" ht="16" x14ac:dyDescent="0.2">
      <c r="B39" s="103" t="s">
        <v>279</v>
      </c>
      <c r="C39" s="217"/>
      <c r="D39" s="218"/>
      <c r="E39" s="245"/>
      <c r="F39" s="217"/>
      <c r="G39" s="218"/>
      <c r="H39" s="248"/>
      <c r="I39" s="125" t="s">
        <v>277</v>
      </c>
      <c r="J39" s="126">
        <v>6600000</v>
      </c>
      <c r="K39" s="237"/>
      <c r="L39" s="127" t="s">
        <v>278</v>
      </c>
      <c r="M39" s="126">
        <v>45860560</v>
      </c>
    </row>
    <row r="40" spans="2:13" ht="16" x14ac:dyDescent="0.2">
      <c r="B40" s="121"/>
      <c r="C40" s="213"/>
      <c r="D40" s="214"/>
      <c r="E40" s="245"/>
      <c r="F40" s="213"/>
      <c r="G40" s="214"/>
      <c r="H40" s="248"/>
      <c r="I40" s="124"/>
      <c r="J40" s="124"/>
      <c r="K40" s="237"/>
      <c r="L40" s="215"/>
      <c r="M40" s="216"/>
    </row>
    <row r="41" spans="2:13" ht="16" x14ac:dyDescent="0.2">
      <c r="B41" s="103" t="s">
        <v>280</v>
      </c>
      <c r="C41" s="217"/>
      <c r="D41" s="218"/>
      <c r="E41" s="245"/>
      <c r="F41" s="217"/>
      <c r="G41" s="218"/>
      <c r="H41" s="248"/>
      <c r="I41" s="125" t="s">
        <v>277</v>
      </c>
      <c r="J41" s="126">
        <v>5250000</v>
      </c>
      <c r="K41" s="237"/>
      <c r="L41" s="127" t="s">
        <v>278</v>
      </c>
      <c r="M41" s="126">
        <v>33803600</v>
      </c>
    </row>
    <row r="42" spans="2:13" ht="16" x14ac:dyDescent="0.2">
      <c r="B42" s="118"/>
      <c r="C42" s="213"/>
      <c r="D42" s="214"/>
      <c r="E42" s="245"/>
      <c r="F42" s="213"/>
      <c r="G42" s="214"/>
      <c r="H42" s="248"/>
      <c r="I42" s="124"/>
      <c r="J42" s="124"/>
      <c r="K42" s="237"/>
      <c r="L42" s="215"/>
      <c r="M42" s="216"/>
    </row>
    <row r="43" spans="2:13" ht="16" x14ac:dyDescent="0.2">
      <c r="B43" s="103" t="s">
        <v>281</v>
      </c>
      <c r="C43" s="217"/>
      <c r="D43" s="218"/>
      <c r="E43" s="245"/>
      <c r="F43" s="217"/>
      <c r="G43" s="218"/>
      <c r="H43" s="248"/>
      <c r="I43" s="125" t="s">
        <v>277</v>
      </c>
      <c r="J43" s="126">
        <v>890000</v>
      </c>
      <c r="K43" s="237"/>
      <c r="L43" s="127" t="s">
        <v>278</v>
      </c>
      <c r="M43" s="126">
        <v>20594000</v>
      </c>
    </row>
    <row r="44" spans="2:13" ht="16" x14ac:dyDescent="0.2">
      <c r="B44" s="118"/>
      <c r="C44" s="213"/>
      <c r="D44" s="214"/>
      <c r="E44" s="245"/>
      <c r="F44" s="213"/>
      <c r="G44" s="214"/>
      <c r="H44" s="248"/>
      <c r="I44" s="124"/>
      <c r="J44" s="124"/>
      <c r="K44" s="237"/>
      <c r="L44" s="215"/>
      <c r="M44" s="216"/>
    </row>
    <row r="45" spans="2:13" ht="16" x14ac:dyDescent="0.2">
      <c r="B45" s="104" t="s">
        <v>282</v>
      </c>
      <c r="C45" s="217"/>
      <c r="D45" s="218"/>
      <c r="E45" s="245"/>
      <c r="F45" s="217"/>
      <c r="G45" s="218"/>
      <c r="H45" s="248"/>
      <c r="I45" s="125" t="s">
        <v>277</v>
      </c>
      <c r="J45" s="126">
        <v>300000</v>
      </c>
      <c r="K45" s="237"/>
      <c r="L45" s="127" t="s">
        <v>278</v>
      </c>
      <c r="M45" s="126">
        <v>12607000</v>
      </c>
    </row>
    <row r="46" spans="2:13" ht="16" x14ac:dyDescent="0.2">
      <c r="B46" s="118"/>
      <c r="C46" s="213"/>
      <c r="D46" s="214"/>
      <c r="E46" s="245"/>
      <c r="F46" s="213"/>
      <c r="G46" s="214"/>
      <c r="H46" s="248"/>
      <c r="I46" s="124"/>
      <c r="J46" s="124"/>
      <c r="K46" s="237"/>
      <c r="L46" s="215"/>
      <c r="M46" s="216"/>
    </row>
    <row r="47" spans="2:13" ht="16" x14ac:dyDescent="0.2">
      <c r="B47" s="104" t="s">
        <v>283</v>
      </c>
      <c r="C47" s="217"/>
      <c r="D47" s="218"/>
      <c r="E47" s="245"/>
      <c r="F47" s="217"/>
      <c r="G47" s="218"/>
      <c r="H47" s="248"/>
      <c r="I47" s="125" t="s">
        <v>277</v>
      </c>
      <c r="J47" s="126">
        <v>960000</v>
      </c>
      <c r="K47" s="237"/>
      <c r="L47" s="127" t="s">
        <v>278</v>
      </c>
      <c r="M47" s="126">
        <v>17323000</v>
      </c>
    </row>
    <row r="48" spans="2:13" ht="16" x14ac:dyDescent="0.2">
      <c r="B48" s="118"/>
      <c r="C48" s="213"/>
      <c r="D48" s="214"/>
      <c r="E48" s="245"/>
      <c r="F48" s="213"/>
      <c r="G48" s="214"/>
      <c r="H48" s="248"/>
      <c r="I48" s="124"/>
      <c r="J48" s="124"/>
      <c r="K48" s="237"/>
      <c r="L48" s="215"/>
      <c r="M48" s="216"/>
    </row>
    <row r="49" spans="2:13" ht="24.75" customHeight="1" x14ac:dyDescent="0.2">
      <c r="B49" s="103" t="s">
        <v>284</v>
      </c>
      <c r="C49" s="217"/>
      <c r="D49" s="218"/>
      <c r="E49" s="245"/>
      <c r="F49" s="217"/>
      <c r="G49" s="218"/>
      <c r="H49" s="248"/>
      <c r="I49" s="128" t="s">
        <v>273</v>
      </c>
      <c r="J49" s="129">
        <v>52412900</v>
      </c>
      <c r="K49" s="237"/>
      <c r="L49" s="219"/>
      <c r="M49" s="220"/>
    </row>
    <row r="50" spans="2:13" ht="16" x14ac:dyDescent="0.2">
      <c r="B50" s="122" t="s">
        <v>285</v>
      </c>
      <c r="C50" s="207">
        <f>D35+D34+D33+D32+D31+D30+D29+D27+D26+D25+D24+D23+D22+D21+D17+D16+D15+D14+D13+D12+D11+D9+D8+D7+D6</f>
        <v>124753939</v>
      </c>
      <c r="D50" s="208"/>
      <c r="E50" s="245"/>
      <c r="F50" s="14"/>
      <c r="G50" s="14"/>
      <c r="H50" s="248"/>
      <c r="I50" s="209">
        <f>J37+J39+J41+J43+J45+J47+J49</f>
        <v>87372900</v>
      </c>
      <c r="J50" s="210"/>
      <c r="K50" s="237"/>
      <c r="L50" s="209">
        <f>M47+M45+M43+M41+M39+M37</f>
        <v>216188660</v>
      </c>
      <c r="M50" s="210"/>
    </row>
    <row r="51" spans="2:13" ht="16" x14ac:dyDescent="0.2">
      <c r="B51" s="122" t="s">
        <v>286</v>
      </c>
      <c r="C51" s="211">
        <f>C50/582</f>
        <v>214353.84707903781</v>
      </c>
      <c r="D51" s="212"/>
      <c r="E51" s="245"/>
      <c r="F51" s="14"/>
      <c r="G51" s="14"/>
      <c r="H51" s="249"/>
      <c r="I51" s="205">
        <f>I50/582</f>
        <v>150125.25773195876</v>
      </c>
      <c r="J51" s="206"/>
      <c r="K51" s="238"/>
      <c r="L51" s="205">
        <f>L50/582</f>
        <v>371458.17869415809</v>
      </c>
      <c r="M51" s="206"/>
    </row>
    <row r="52" spans="2:13" x14ac:dyDescent="0.2">
      <c r="E52" s="246"/>
    </row>
    <row r="53" spans="2:13" ht="48" x14ac:dyDescent="0.2">
      <c r="D53" s="123" t="s">
        <v>287</v>
      </c>
      <c r="E53" s="205">
        <f>C51+I51+L51</f>
        <v>735937.28350515466</v>
      </c>
      <c r="F53" s="206"/>
    </row>
  </sheetData>
  <mergeCells count="84">
    <mergeCell ref="B6:B9"/>
    <mergeCell ref="E6:E52"/>
    <mergeCell ref="F6:G9"/>
    <mergeCell ref="H6:H51"/>
    <mergeCell ref="I6:I9"/>
    <mergeCell ref="C3:M3"/>
    <mergeCell ref="C4:D4"/>
    <mergeCell ref="F4:G4"/>
    <mergeCell ref="I4:J4"/>
    <mergeCell ref="L4:M4"/>
    <mergeCell ref="J6:J9"/>
    <mergeCell ref="K6:K51"/>
    <mergeCell ref="L6:M9"/>
    <mergeCell ref="C10:D10"/>
    <mergeCell ref="F10:G10"/>
    <mergeCell ref="I10:J10"/>
    <mergeCell ref="L10:M10"/>
    <mergeCell ref="F19:G19"/>
    <mergeCell ref="L19:M19"/>
    <mergeCell ref="C20:D20"/>
    <mergeCell ref="B11:B17"/>
    <mergeCell ref="F11:G17"/>
    <mergeCell ref="I11:J17"/>
    <mergeCell ref="L11:M17"/>
    <mergeCell ref="C18:D18"/>
    <mergeCell ref="F18:G18"/>
    <mergeCell ref="L18:M18"/>
    <mergeCell ref="F20:G20"/>
    <mergeCell ref="L20:M20"/>
    <mergeCell ref="B21:B27"/>
    <mergeCell ref="F21:G27"/>
    <mergeCell ref="I21:J27"/>
    <mergeCell ref="L21:M27"/>
    <mergeCell ref="C28:D28"/>
    <mergeCell ref="F28:G28"/>
    <mergeCell ref="I28:J28"/>
    <mergeCell ref="L28:M28"/>
    <mergeCell ref="B29:B35"/>
    <mergeCell ref="F29:G35"/>
    <mergeCell ref="I29:J35"/>
    <mergeCell ref="L29:M35"/>
    <mergeCell ref="C41:D41"/>
    <mergeCell ref="F41:G41"/>
    <mergeCell ref="C36:D36"/>
    <mergeCell ref="F36:G36"/>
    <mergeCell ref="L36:M36"/>
    <mergeCell ref="C37:D37"/>
    <mergeCell ref="F37:G37"/>
    <mergeCell ref="C38:D38"/>
    <mergeCell ref="F38:G38"/>
    <mergeCell ref="L38:M38"/>
    <mergeCell ref="C39:D39"/>
    <mergeCell ref="F39:G39"/>
    <mergeCell ref="C40:D40"/>
    <mergeCell ref="F40:G40"/>
    <mergeCell ref="L40:M40"/>
    <mergeCell ref="C47:D47"/>
    <mergeCell ref="F47:G47"/>
    <mergeCell ref="C42:D42"/>
    <mergeCell ref="F42:G42"/>
    <mergeCell ref="L42:M42"/>
    <mergeCell ref="C43:D43"/>
    <mergeCell ref="F43:G43"/>
    <mergeCell ref="C44:D44"/>
    <mergeCell ref="F44:G44"/>
    <mergeCell ref="L44:M44"/>
    <mergeCell ref="C45:D45"/>
    <mergeCell ref="F45:G45"/>
    <mergeCell ref="C46:D46"/>
    <mergeCell ref="F46:G46"/>
    <mergeCell ref="L46:M46"/>
    <mergeCell ref="C48:D48"/>
    <mergeCell ref="F48:G48"/>
    <mergeCell ref="L48:M48"/>
    <mergeCell ref="C49:D49"/>
    <mergeCell ref="F49:G49"/>
    <mergeCell ref="L49:M49"/>
    <mergeCell ref="E53:F53"/>
    <mergeCell ref="C50:D50"/>
    <mergeCell ref="I50:J50"/>
    <mergeCell ref="L50:M50"/>
    <mergeCell ref="C51:D51"/>
    <mergeCell ref="I51:J51"/>
    <mergeCell ref="L51:M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Burkina Faso</vt:lpstr>
      <vt:lpstr>Cote d'Ivoire</vt:lpstr>
      <vt:lpstr>Guinea</vt:lpstr>
      <vt:lpstr>Niger</vt:lpstr>
      <vt:lpstr>Mali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2019-07-02T06:26:09Z</cp:lastPrinted>
  <dcterms:created xsi:type="dcterms:W3CDTF">2019-07-01T19:37:05Z</dcterms:created>
  <dcterms:modified xsi:type="dcterms:W3CDTF">2019-11-07T02:29:29Z</dcterms:modified>
  <cp:category/>
</cp:coreProperties>
</file>