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workbookProtection workbookAlgorithmName="SHA-512" workbookHashValue="5tvlMql1lMBDlRZHjpCCDsRiLV1eIddmS2MoofT9Qp/c1L3rHERJ4971kCwBC6IPWbYF+P9J6GxrsEsgxzzcbA==" workbookSaltValue="31fIdxoAXltD7L+8Nh75FA==" workbookSpinCount="100000" lockStructure="1"/>
  <bookViews>
    <workbookView xWindow="0" yWindow="60" windowWidth="20730" windowHeight="11700" activeTab="2"/>
  </bookViews>
  <sheets>
    <sheet name="summary" sheetId="9" r:id="rId1"/>
    <sheet name="Income analysis" sheetId="6" r:id="rId2"/>
    <sheet name="Implementation" sheetId="1" r:id="rId3"/>
    <sheet name="rolled over implementation" sheetId="10" r:id="rId4"/>
    <sheet name="Research" sheetId="8" r:id="rId5"/>
    <sheet name="Central costs" sheetId="3" r:id="rId6"/>
    <sheet name="Personnel" sheetId="2" state="hidden" r:id="rId7"/>
  </sheets>
  <externalReferences>
    <externalReference r:id="rId8"/>
    <externalReference r:id="rId9"/>
  </externalReferences>
  <definedNames>
    <definedName name="_xlnm._FilterDatabase" localSheetId="2" hidden="1">Implementation!$A$1:$J$26</definedName>
    <definedName name="_xlnm._FilterDatabase" localSheetId="3" hidden="1">'rolled over implementation'!$A$1:$H$25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9" l="1"/>
  <c r="B15" i="1"/>
  <c r="K11" i="3"/>
  <c r="B15" i="3"/>
  <c r="B10" i="6"/>
  <c r="B9" i="6"/>
  <c r="B8" i="6"/>
  <c r="B7" i="6"/>
  <c r="B5" i="6"/>
  <c r="B6" i="6"/>
  <c r="K9" i="3"/>
  <c r="K9" i="9"/>
  <c r="G9" i="9"/>
  <c r="J9" i="9"/>
  <c r="I9" i="9"/>
  <c r="H9" i="9"/>
  <c r="F9" i="9"/>
  <c r="E9" i="9"/>
  <c r="G8" i="9"/>
  <c r="E8" i="9"/>
  <c r="D8" i="9"/>
  <c r="L7" i="9"/>
  <c r="D7" i="9"/>
  <c r="C52" i="2"/>
  <c r="C50" i="2"/>
  <c r="C42" i="2"/>
  <c r="G42" i="2"/>
  <c r="K23" i="2"/>
  <c r="C4" i="2"/>
  <c r="H50" i="2"/>
  <c r="K45" i="2"/>
  <c r="K4" i="3"/>
  <c r="K15" i="3"/>
  <c r="L9" i="9"/>
  <c r="K10" i="3"/>
  <c r="E11" i="9"/>
  <c r="G11" i="9"/>
  <c r="H15" i="3"/>
  <c r="I15" i="3"/>
  <c r="K4" i="9"/>
  <c r="G13" i="9"/>
  <c r="E13" i="9"/>
  <c r="D23" i="2"/>
  <c r="D31" i="2"/>
  <c r="K31" i="2"/>
  <c r="D30" i="2"/>
  <c r="K30" i="2"/>
  <c r="D29" i="2"/>
  <c r="K29" i="2"/>
  <c r="D28" i="2"/>
  <c r="K28" i="2"/>
  <c r="D27" i="2"/>
  <c r="K27" i="2"/>
  <c r="D26" i="2"/>
  <c r="B20" i="8"/>
  <c r="K13" i="3"/>
  <c r="K12" i="3"/>
  <c r="C32" i="2"/>
  <c r="D32" i="2"/>
  <c r="D50" i="2"/>
  <c r="E50" i="2"/>
  <c r="F50" i="2"/>
  <c r="G50" i="2"/>
  <c r="K50" i="2"/>
  <c r="L50" i="2"/>
  <c r="M50" i="2"/>
  <c r="J15" i="1"/>
  <c r="G8" i="1"/>
  <c r="C25" i="1"/>
  <c r="C6" i="9"/>
  <c r="E25" i="1"/>
  <c r="E4" i="1"/>
  <c r="B8" i="10"/>
  <c r="G24" i="10"/>
  <c r="F24" i="10"/>
  <c r="E24" i="10"/>
  <c r="D24" i="10"/>
  <c r="C24" i="10"/>
  <c r="H33" i="2"/>
  <c r="H52" i="2"/>
  <c r="G33" i="2"/>
  <c r="G52" i="2"/>
  <c r="F3" i="3"/>
  <c r="F15" i="3"/>
  <c r="C33" i="2"/>
  <c r="K9" i="2"/>
  <c r="L33" i="2"/>
  <c r="L52" i="2"/>
  <c r="K20" i="2"/>
  <c r="E33" i="2"/>
  <c r="E52" i="2"/>
  <c r="D3" i="3"/>
  <c r="D15" i="3"/>
  <c r="K15" i="2"/>
  <c r="K14" i="2"/>
  <c r="K11" i="2"/>
  <c r="K8" i="2"/>
  <c r="K6" i="2"/>
  <c r="K5" i="2"/>
  <c r="B4" i="3"/>
  <c r="B5" i="3"/>
  <c r="B11" i="3"/>
  <c r="B10" i="3"/>
  <c r="D21" i="1"/>
  <c r="C8" i="1"/>
  <c r="J8" i="1"/>
  <c r="B3" i="3"/>
  <c r="G3" i="3"/>
  <c r="G15" i="3"/>
  <c r="B24" i="10"/>
  <c r="C7" i="9"/>
  <c r="H24" i="10"/>
  <c r="K33" i="2"/>
  <c r="K52" i="2"/>
  <c r="J3" i="3"/>
  <c r="J15" i="3"/>
  <c r="M33" i="2"/>
  <c r="M52" i="2"/>
  <c r="B12" i="6"/>
  <c r="L4" i="9"/>
  <c r="B9" i="3"/>
  <c r="C9" i="9"/>
  <c r="B3" i="6"/>
  <c r="J25" i="8"/>
  <c r="K8" i="9"/>
  <c r="K11" i="9"/>
  <c r="K13" i="9"/>
  <c r="E25" i="8"/>
  <c r="F8" i="9"/>
  <c r="F11" i="9"/>
  <c r="F13" i="9"/>
  <c r="H25" i="8"/>
  <c r="I8" i="9"/>
  <c r="I11" i="9"/>
  <c r="I13" i="9"/>
  <c r="G25" i="8"/>
  <c r="H8" i="9"/>
  <c r="H11" i="9"/>
  <c r="B25" i="8"/>
  <c r="I5" i="8"/>
  <c r="I25" i="8"/>
  <c r="J8" i="9"/>
  <c r="J11" i="9"/>
  <c r="B11" i="6"/>
  <c r="J4" i="9"/>
  <c r="J13" i="9"/>
  <c r="K25" i="8"/>
  <c r="L8" i="9"/>
  <c r="C8" i="9"/>
  <c r="C10" i="9"/>
  <c r="L10" i="9"/>
  <c r="L11" i="9"/>
  <c r="L13" i="9"/>
  <c r="J25" i="1"/>
  <c r="I25" i="1"/>
  <c r="H25" i="1"/>
  <c r="G25" i="1"/>
  <c r="F25" i="1"/>
  <c r="C11" i="9"/>
  <c r="F22" i="2"/>
  <c r="D22" i="2"/>
  <c r="F33" i="2"/>
  <c r="F52" i="2"/>
  <c r="E3" i="3"/>
  <c r="E15" i="3"/>
  <c r="D33" i="2"/>
  <c r="D52" i="2"/>
  <c r="C3" i="3"/>
  <c r="C15" i="3"/>
  <c r="D9" i="9"/>
  <c r="D11" i="9"/>
  <c r="B25" i="1"/>
  <c r="C16" i="1"/>
  <c r="C5" i="1"/>
  <c r="D18" i="1"/>
  <c r="D8" i="1"/>
  <c r="C12" i="1"/>
  <c r="D19" i="1"/>
  <c r="D20" i="1"/>
  <c r="D14" i="1"/>
  <c r="C22" i="1"/>
  <c r="C13" i="1"/>
  <c r="C9" i="1"/>
  <c r="C24" i="1"/>
  <c r="C23" i="1"/>
  <c r="D25" i="1"/>
  <c r="D7" i="1"/>
  <c r="D6" i="1"/>
  <c r="D10" i="1"/>
  <c r="D11" i="1"/>
  <c r="D4" i="9"/>
  <c r="D13" i="9"/>
  <c r="H13" i="9"/>
  <c r="H4" i="9"/>
  <c r="B13" i="6"/>
  <c r="C4" i="9"/>
  <c r="C13" i="9"/>
</calcChain>
</file>

<file path=xl/comments1.xml><?xml version="1.0" encoding="utf-8"?>
<comments xmlns="http://schemas.openxmlformats.org/spreadsheetml/2006/main">
  <authors>
    <author>Najwa Al Abdullah</author>
  </authors>
  <commentList>
    <comment ref="L6" authorId="0">
      <text>
        <r>
          <rPr>
            <b/>
            <sz val="9"/>
            <color indexed="81"/>
            <rFont val="Tahoma"/>
            <family val="2"/>
          </rPr>
          <t>Najwa Al Abdullah:</t>
        </r>
        <r>
          <rPr>
            <sz val="9"/>
            <color indexed="81"/>
            <rFont val="Tahoma"/>
            <family val="2"/>
          </rPr>
          <t xml:space="preserve">
more than available funds a decision to be made</t>
        </r>
      </text>
    </comment>
  </commentList>
</comments>
</file>

<file path=xl/comments2.xml><?xml version="1.0" encoding="utf-8"?>
<comments xmlns="http://schemas.openxmlformats.org/spreadsheetml/2006/main">
  <authors>
    <author>Najwa Al Abdullah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 xml:space="preserve">Najwa Al Abdallah
estimate of 10% of the total contract value is for IC overheads
</t>
        </r>
      </text>
    </comment>
  </commentList>
</comments>
</file>

<file path=xl/comments3.xml><?xml version="1.0" encoding="utf-8"?>
<comments xmlns="http://schemas.openxmlformats.org/spreadsheetml/2006/main">
  <authors>
    <author>Najwa Al Abdullah</author>
    <author>Lynsey Blair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Najwa Al Abdullah:</t>
        </r>
        <r>
          <rPr>
            <sz val="9"/>
            <color indexed="81"/>
            <rFont val="Tahoma"/>
            <family val="2"/>
          </rPr>
          <t xml:space="preserve">
Liverpool management fees to manage Mozambique and Zambia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AF estimate when reviewing complexity factor Mar 2016</t>
        </r>
      </text>
    </comment>
    <comment ref="C7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Assuming scenario 3 from Sarah</t>
        </r>
      </text>
    </comment>
    <comment ref="D9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15/16 per treatment cost is 0.15 but is for re-treatment and no management costs
</t>
        </r>
      </text>
    </comment>
    <comment ref="B12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Assuming delivery of 0.5m PZQ from WHO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Assuming same level of support as in 2015/16</t>
        </r>
      </text>
    </comment>
    <comment ref="D13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taken from 15/16 contract - assuming person treated with any medication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Najwa Al Abdullah:</t>
        </r>
        <r>
          <rPr>
            <sz val="9"/>
            <color indexed="81"/>
            <rFont val="Tahoma"/>
            <family val="2"/>
          </rPr>
          <t xml:space="preserve">
no work-plan and budget finalised yet but an estimate allocation
</t>
        </r>
      </text>
    </comment>
    <comment ref="B16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AF estimate when reviewing complexity factor Mar 2016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50% of required cost - matched by Sudanese Govt</t>
        </r>
      </text>
    </comment>
    <comment ref="B22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taken from PCT plan</t>
        </r>
      </text>
    </comment>
    <comment ref="D22" authorId="1">
      <text>
        <r>
          <rPr>
            <b/>
            <sz val="9"/>
            <color indexed="81"/>
            <rFont val="Tahoma"/>
            <family val="2"/>
          </rPr>
          <t>Lynsey Blair:</t>
        </r>
        <r>
          <rPr>
            <sz val="9"/>
            <color indexed="81"/>
            <rFont val="Tahoma"/>
            <family val="2"/>
          </rPr>
          <t xml:space="preserve">
taken from 2015/16 contract</t>
        </r>
      </text>
    </comment>
  </commentList>
</comments>
</file>

<file path=xl/sharedStrings.xml><?xml version="1.0" encoding="utf-8"?>
<sst xmlns="http://schemas.openxmlformats.org/spreadsheetml/2006/main" count="262" uniqueCount="163">
  <si>
    <t>Country</t>
  </si>
  <si>
    <t>DFID</t>
  </si>
  <si>
    <t>UBS</t>
  </si>
  <si>
    <t>END Fund</t>
  </si>
  <si>
    <t>SCORE</t>
  </si>
  <si>
    <t>Cote D'Ivoire</t>
  </si>
  <si>
    <t>Liberia</t>
  </si>
  <si>
    <t xml:space="preserve">Malawi </t>
  </si>
  <si>
    <t xml:space="preserve">Mozambique </t>
  </si>
  <si>
    <t>Tanzania</t>
  </si>
  <si>
    <t>Zambia</t>
  </si>
  <si>
    <t xml:space="preserve">Niger </t>
  </si>
  <si>
    <t>Uganda</t>
  </si>
  <si>
    <t>Zanzibar Unguja</t>
  </si>
  <si>
    <t>Zanzibar Pemba</t>
  </si>
  <si>
    <t xml:space="preserve">DRC </t>
  </si>
  <si>
    <t xml:space="preserve">Ethiopia </t>
  </si>
  <si>
    <t>Burundi</t>
  </si>
  <si>
    <t>Rwanda</t>
  </si>
  <si>
    <t>Senegal</t>
  </si>
  <si>
    <t>Madagascar</t>
  </si>
  <si>
    <t>Yemen</t>
  </si>
  <si>
    <t>Sudan</t>
  </si>
  <si>
    <t>Mauritania</t>
  </si>
  <si>
    <t>Proposed Budget from Countries in GBP</t>
  </si>
  <si>
    <t>Funding Source Allocation</t>
  </si>
  <si>
    <t>Unrestricted ICT</t>
  </si>
  <si>
    <t>Unrestricted IC</t>
  </si>
  <si>
    <t>-</t>
  </si>
  <si>
    <t>TOTALS</t>
  </si>
  <si>
    <t>Annuzaili, Dhekra</t>
  </si>
  <si>
    <t>Bird, Kieran</t>
  </si>
  <si>
    <t>Blair, Lynsey</t>
  </si>
  <si>
    <t>Clements, Michelle</t>
  </si>
  <si>
    <t>Deol, Arminder</t>
  </si>
  <si>
    <t>Dhanani, Neerav</t>
  </si>
  <si>
    <t>Fenwick, Alan</t>
  </si>
  <si>
    <t>Fleming, Fiona</t>
  </si>
  <si>
    <t>French, Michael</t>
  </si>
  <si>
    <t>Harrison, Wendy</t>
  </si>
  <si>
    <t>Nogaro, Sarah</t>
  </si>
  <si>
    <t>Weldon, Alix</t>
  </si>
  <si>
    <t>Whitton, Jane</t>
  </si>
  <si>
    <t>Wilhelme, Anna</t>
  </si>
  <si>
    <t>Wittmann, Udo</t>
  </si>
  <si>
    <t>Communication Officer</t>
  </si>
  <si>
    <t>Position</t>
  </si>
  <si>
    <t>Program Manager</t>
  </si>
  <si>
    <t>Senior Fin systmes &amp; procurement officer</t>
  </si>
  <si>
    <t>Implementation Director</t>
  </si>
  <si>
    <t>Senior Biostatistician</t>
  </si>
  <si>
    <t>PHD Student</t>
  </si>
  <si>
    <t>Biostatistician</t>
  </si>
  <si>
    <t>Founder and manager</t>
  </si>
  <si>
    <t>M&amp;E Director</t>
  </si>
  <si>
    <t>Fantaguzzi, Catherine</t>
  </si>
  <si>
    <t>Value for Money Officer</t>
  </si>
  <si>
    <t>Managing Director</t>
  </si>
  <si>
    <t>Finance &amp; Operations Director</t>
  </si>
  <si>
    <t>Advocacy &amp; Relations Officer</t>
  </si>
  <si>
    <t>Programme Management Officer</t>
  </si>
  <si>
    <t>Personal Assistant</t>
  </si>
  <si>
    <t>Logan, Cristina</t>
  </si>
  <si>
    <t>Finance Officer</t>
  </si>
  <si>
    <t>Vacant</t>
  </si>
  <si>
    <t xml:space="preserve">Sandrine, Marie Aimee </t>
  </si>
  <si>
    <t>Charlott, Neil</t>
  </si>
  <si>
    <t>Capacity Strengthening Director</t>
  </si>
  <si>
    <t>Al Abdallah, Najwa</t>
  </si>
  <si>
    <t>Personnel</t>
  </si>
  <si>
    <t>Equipments</t>
  </si>
  <si>
    <t xml:space="preserve">Audit </t>
  </si>
  <si>
    <t>Meetings</t>
  </si>
  <si>
    <t>Approved Budget by CC in GBP</t>
  </si>
  <si>
    <t>CIFF</t>
  </si>
  <si>
    <t>Kabatereine, Dr Narcis Bujune</t>
  </si>
  <si>
    <t>Unrestricted ICTrust</t>
  </si>
  <si>
    <t>less Reserve (at 31 March 2016)</t>
  </si>
  <si>
    <t>Notes</t>
  </si>
  <si>
    <t>Nadia Ben Meriem</t>
  </si>
  <si>
    <t>Mousumi Rahman</t>
  </si>
  <si>
    <t>Lazenya Weeks</t>
  </si>
  <si>
    <t>Liz Hollenberg</t>
  </si>
  <si>
    <t>Title</t>
  </si>
  <si>
    <t>Amount in GBP</t>
  </si>
  <si>
    <t>Funding source</t>
  </si>
  <si>
    <t>Consultants</t>
  </si>
  <si>
    <t>Programme Technical Advisor</t>
  </si>
  <si>
    <t>Finance Manager</t>
  </si>
  <si>
    <t xml:space="preserve">M&amp;E Manager </t>
  </si>
  <si>
    <t>Programme Assistant</t>
  </si>
  <si>
    <t xml:space="preserve">Data Manager </t>
  </si>
  <si>
    <t xml:space="preserve">Capacity building Manger </t>
  </si>
  <si>
    <t>Markos Sleshi</t>
  </si>
  <si>
    <t xml:space="preserve">Meron Seifu </t>
  </si>
  <si>
    <t xml:space="preserve">Addisu Alemayehu </t>
  </si>
  <si>
    <t>Birhanu Tadessa</t>
  </si>
  <si>
    <t xml:space="preserve">TBR </t>
  </si>
  <si>
    <t>Birhan  Mengistu</t>
  </si>
  <si>
    <t>Budget in GBP</t>
  </si>
  <si>
    <t>Total balance carried forward to 1 April 2016</t>
  </si>
  <si>
    <t>Income at P-account (income recognised when spent)</t>
  </si>
  <si>
    <t>Income balance at L-account at 31 March 2016</t>
  </si>
  <si>
    <t xml:space="preserve"> # of Treatments</t>
  </si>
  <si>
    <t>Nigeria</t>
  </si>
  <si>
    <t>MRC</t>
  </si>
  <si>
    <t>Gates</t>
  </si>
  <si>
    <t>Brazil</t>
  </si>
  <si>
    <t>Income balance at IC Trust at 31 March 2016</t>
  </si>
  <si>
    <t>Committed from DFID</t>
  </si>
  <si>
    <t>Committed from UBS</t>
  </si>
  <si>
    <t xml:space="preserve">Commited from Gates </t>
  </si>
  <si>
    <t>in country cost  per PZQ treatment</t>
  </si>
  <si>
    <t>to attend courses and trainings; on average 1 training/employee at GBP1500/training</t>
  </si>
  <si>
    <t>Board meetings; 4/year at GBP3000/meeting + 2 all staff meeting at 2500/meeting</t>
  </si>
  <si>
    <t>Covered by Imperial College</t>
  </si>
  <si>
    <t>Committed from CIFF</t>
  </si>
  <si>
    <t>Committed from END FUND</t>
  </si>
  <si>
    <t>Commited from Score</t>
  </si>
  <si>
    <t>Commited from MRC</t>
  </si>
  <si>
    <t xml:space="preserve">Economic costing survey for LSHTM MSc but data will be used for DFID related VfM.  </t>
  </si>
  <si>
    <t>M&amp;E surveys</t>
  </si>
  <si>
    <t>intern/student costs</t>
  </si>
  <si>
    <t>Software</t>
  </si>
  <si>
    <t>Statistics licenses and accounting package</t>
  </si>
  <si>
    <t>furniture and equipment for SCI office are bought by the college; for the field are bought by Crown Agent funded by DFID; GBP 5000 is for misc. &amp; 2000 for telephones for surveys.</t>
  </si>
  <si>
    <t>Advocacy &amp; representation</t>
  </si>
  <si>
    <t>Including trips to Geneva</t>
  </si>
  <si>
    <t>Travel for conferences * meetings</t>
  </si>
  <si>
    <t>Travel for monitoring/capacity building</t>
  </si>
  <si>
    <t>Closing down &amp; severance in Uganda and Malawi</t>
  </si>
  <si>
    <t>Nalule, Yolisa (on Maternity Leave)</t>
  </si>
  <si>
    <t>Philips Anna (on Maternity Leave)</t>
  </si>
  <si>
    <t>Capacity Strengthening manager</t>
  </si>
  <si>
    <t>Beatrice</t>
  </si>
  <si>
    <t>rolled budget</t>
  </si>
  <si>
    <t>Consultant</t>
  </si>
  <si>
    <t>Consultant Burundi</t>
  </si>
  <si>
    <t>M&amp;E consultant</t>
  </si>
  <si>
    <t>Total</t>
  </si>
  <si>
    <t xml:space="preserve">Central </t>
  </si>
  <si>
    <t>SCI Budget summary 1 April 2016 to 31 March 2017 in GBP</t>
  </si>
  <si>
    <t>Income Carried Forward from 31 March 2016</t>
  </si>
  <si>
    <t>Implementation costs</t>
  </si>
  <si>
    <t>Rolled implementation budget</t>
  </si>
  <si>
    <t>Research costs</t>
  </si>
  <si>
    <t>Central costs</t>
  </si>
  <si>
    <t>Reserve</t>
  </si>
  <si>
    <t>Capacity building as per PRDPs</t>
  </si>
  <si>
    <t>Visibility + Advertisements</t>
  </si>
  <si>
    <t>Subtotal</t>
  </si>
  <si>
    <t>Score</t>
  </si>
  <si>
    <t>Total Costs</t>
  </si>
  <si>
    <t>Balance Check</t>
  </si>
  <si>
    <t>End Fund</t>
  </si>
  <si>
    <t>Antonio Zivieri</t>
  </si>
  <si>
    <t>GSA data consultant</t>
  </si>
  <si>
    <t>Katharina Khloe</t>
  </si>
  <si>
    <t>Pedro</t>
  </si>
  <si>
    <t xml:space="preserve"> </t>
  </si>
  <si>
    <t>need to review with the SMT to revise and reduce funding GAP</t>
  </si>
  <si>
    <t>on everage 3 trips/employee/year @ GBP3000/trip+  additional 3 trips/program managertrips for conferences+ SMT  trips</t>
  </si>
  <si>
    <t xml:space="preserve">International expenses of Ex pats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</si>
</sst>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_-;\-* #,##0_-;_-* &quot;-&quot;??_-;_-@_-"/>
    <numFmt numFmtId="167" formatCode="&quot;£&quot;#,##0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</cellStyleXfs>
  <cellXfs count="245">
    <xf numFmtId="0" fontId="0" fillId="0" borderId="0" xfId="0"/>
    <xf numFmtId="0" fontId="0" fillId="0" borderId="5" xfId="0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0" xfId="0" applyFont="1"/>
    <xf numFmtId="0" fontId="0" fillId="0" borderId="0" xfId="0" applyBorder="1"/>
    <xf numFmtId="166" fontId="1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3" fillId="0" borderId="2" xfId="0" applyNumberFormat="1" applyFont="1" applyBorder="1" applyAlignment="1">
      <alignment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7" xfId="0" applyBorder="1"/>
    <xf numFmtId="0" fontId="2" fillId="0" borderId="17" xfId="0" applyFont="1" applyFill="1" applyBorder="1" applyAlignment="1">
      <alignment wrapText="1"/>
    </xf>
    <xf numFmtId="3" fontId="7" fillId="0" borderId="5" xfId="0" applyNumberFormat="1" applyFont="1" applyBorder="1"/>
    <xf numFmtId="3" fontId="0" fillId="0" borderId="17" xfId="0" applyNumberFormat="1" applyFont="1" applyFill="1" applyBorder="1" applyAlignment="1">
      <alignment horizontal="right" wrapText="1"/>
    </xf>
    <xf numFmtId="3" fontId="0" fillId="0" borderId="17" xfId="0" applyNumberFormat="1" applyFont="1" applyBorder="1" applyAlignment="1">
      <alignment horizontal="right"/>
    </xf>
    <xf numFmtId="3" fontId="0" fillId="0" borderId="17" xfId="0" applyNumberFormat="1" applyFont="1" applyBorder="1"/>
    <xf numFmtId="3" fontId="0" fillId="0" borderId="0" xfId="0" applyNumberFormat="1" applyBorder="1"/>
    <xf numFmtId="3" fontId="0" fillId="0" borderId="0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3" fontId="3" fillId="0" borderId="17" xfId="0" applyNumberFormat="1" applyFont="1" applyBorder="1" applyAlignment="1">
      <alignment wrapText="1"/>
    </xf>
    <xf numFmtId="3" fontId="2" fillId="0" borderId="17" xfId="0" applyNumberFormat="1" applyFont="1" applyBorder="1" applyAlignment="1">
      <alignment horizontal="right" wrapText="1"/>
    </xf>
    <xf numFmtId="0" fontId="0" fillId="0" borderId="17" xfId="0" applyFill="1" applyBorder="1"/>
    <xf numFmtId="3" fontId="0" fillId="0" borderId="17" xfId="0" applyNumberFormat="1" applyBorder="1"/>
    <xf numFmtId="3" fontId="4" fillId="0" borderId="17" xfId="1" applyNumberFormat="1" applyFont="1" applyBorder="1" applyAlignment="1">
      <alignment horizontal="right"/>
    </xf>
    <xf numFmtId="3" fontId="1" fillId="0" borderId="17" xfId="1" applyNumberFormat="1" applyFont="1" applyFill="1" applyBorder="1" applyAlignment="1">
      <alignment horizontal="center" vertical="center" wrapText="1"/>
    </xf>
    <xf numFmtId="3" fontId="8" fillId="0" borderId="17" xfId="1" applyNumberFormat="1" applyFont="1" applyFill="1" applyBorder="1" applyAlignment="1">
      <alignment horizontal="right" vertical="center" wrapText="1"/>
    </xf>
    <xf numFmtId="0" fontId="7" fillId="0" borderId="22" xfId="0" applyFont="1" applyBorder="1" applyAlignment="1">
      <alignment horizontal="center"/>
    </xf>
    <xf numFmtId="3" fontId="7" fillId="0" borderId="22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right"/>
    </xf>
    <xf numFmtId="0" fontId="9" fillId="0" borderId="17" xfId="0" applyFont="1" applyFill="1" applyBorder="1" applyProtection="1">
      <protection locked="0"/>
    </xf>
    <xf numFmtId="0" fontId="9" fillId="0" borderId="17" xfId="0" applyFont="1" applyFill="1" applyBorder="1" applyAlignment="1" applyProtection="1">
      <alignment wrapText="1"/>
      <protection locked="0"/>
    </xf>
    <xf numFmtId="0" fontId="9" fillId="0" borderId="17" xfId="0" applyFont="1" applyBorder="1"/>
    <xf numFmtId="3" fontId="3" fillId="0" borderId="22" xfId="0" applyNumberFormat="1" applyFont="1" applyBorder="1" applyAlignment="1">
      <alignment horizontal="center" wrapText="1"/>
    </xf>
    <xf numFmtId="3" fontId="7" fillId="0" borderId="0" xfId="0" applyNumberFormat="1" applyFont="1"/>
    <xf numFmtId="0" fontId="0" fillId="0" borderId="0" xfId="0" applyAlignment="1">
      <alignment wrapText="1"/>
    </xf>
    <xf numFmtId="167" fontId="0" fillId="0" borderId="0" xfId="0" applyNumberFormat="1" applyFont="1"/>
    <xf numFmtId="3" fontId="11" fillId="0" borderId="17" xfId="0" applyNumberFormat="1" applyFont="1" applyBorder="1" applyAlignment="1">
      <alignment horizontal="right"/>
    </xf>
    <xf numFmtId="3" fontId="3" fillId="0" borderId="17" xfId="0" applyNumberFormat="1" applyFont="1" applyFill="1" applyBorder="1" applyAlignment="1">
      <alignment horizontal="center" wrapText="1"/>
    </xf>
    <xf numFmtId="3" fontId="2" fillId="0" borderId="22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0" fillId="0" borderId="9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11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166" fontId="2" fillId="2" borderId="15" xfId="1" applyNumberFormat="1" applyFont="1" applyFill="1" applyBorder="1" applyAlignment="1">
      <alignment horizontal="right" vertical="center"/>
    </xf>
    <xf numFmtId="166" fontId="2" fillId="0" borderId="15" xfId="1" applyNumberFormat="1" applyFont="1" applyFill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3" fontId="1" fillId="0" borderId="24" xfId="1" applyNumberFormat="1" applyFont="1" applyFill="1" applyBorder="1" applyAlignment="1">
      <alignment horizontal="right" vertical="center" wrapText="1"/>
    </xf>
    <xf numFmtId="3" fontId="1" fillId="0" borderId="27" xfId="1" applyNumberFormat="1" applyFont="1" applyFill="1" applyBorder="1" applyAlignment="1">
      <alignment horizontal="right" vertical="center" wrapText="1"/>
    </xf>
    <xf numFmtId="3" fontId="1" fillId="0" borderId="25" xfId="1" applyNumberFormat="1" applyFont="1" applyFill="1" applyBorder="1" applyAlignment="1">
      <alignment horizontal="right" vertical="center" wrapText="1"/>
    </xf>
    <xf numFmtId="3" fontId="1" fillId="0" borderId="26" xfId="1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6" fontId="8" fillId="0" borderId="19" xfId="1" applyNumberFormat="1" applyFont="1" applyFill="1" applyBorder="1" applyAlignment="1">
      <alignment horizontal="right" vertical="center" wrapText="1"/>
    </xf>
    <xf numFmtId="166" fontId="8" fillId="2" borderId="15" xfId="1" applyNumberFormat="1" applyFont="1" applyFill="1" applyBorder="1" applyAlignment="1">
      <alignment horizontal="right" vertical="center" wrapText="1"/>
    </xf>
    <xf numFmtId="166" fontId="8" fillId="0" borderId="15" xfId="1" applyNumberFormat="1" applyFont="1" applyFill="1" applyBorder="1" applyAlignment="1">
      <alignment horizontal="right" vertical="center" wrapText="1"/>
    </xf>
    <xf numFmtId="166" fontId="4" fillId="0" borderId="38" xfId="1" applyNumberFormat="1" applyFont="1" applyBorder="1" applyAlignment="1">
      <alignment horizontal="right" vertical="center"/>
    </xf>
    <xf numFmtId="166" fontId="8" fillId="0" borderId="39" xfId="1" applyNumberFormat="1" applyFont="1" applyFill="1" applyBorder="1" applyAlignment="1">
      <alignment horizontal="right" vertical="center" wrapText="1"/>
    </xf>
    <xf numFmtId="2" fontId="8" fillId="0" borderId="39" xfId="1" applyNumberFormat="1" applyFont="1" applyFill="1" applyBorder="1" applyAlignment="1">
      <alignment horizontal="right" vertical="center" wrapText="1"/>
    </xf>
    <xf numFmtId="166" fontId="4" fillId="0" borderId="40" xfId="1" applyNumberFormat="1" applyFont="1" applyBorder="1" applyAlignment="1">
      <alignment horizontal="right" vertical="center"/>
    </xf>
    <xf numFmtId="166" fontId="8" fillId="2" borderId="5" xfId="1" applyNumberFormat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3" fontId="10" fillId="0" borderId="40" xfId="0" applyNumberFormat="1" applyFont="1" applyFill="1" applyBorder="1" applyAlignment="1">
      <alignment horizontal="right" vertical="center" wrapText="1"/>
    </xf>
    <xf numFmtId="166" fontId="8" fillId="0" borderId="5" xfId="1" applyNumberFormat="1" applyFont="1" applyFill="1" applyBorder="1" applyAlignment="1">
      <alignment horizontal="right" vertical="center" wrapText="1"/>
    </xf>
    <xf numFmtId="166" fontId="2" fillId="2" borderId="5" xfId="1" applyNumberFormat="1" applyFont="1" applyFill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166" fontId="4" fillId="0" borderId="40" xfId="1" applyNumberFormat="1" applyFont="1" applyFill="1" applyBorder="1" applyAlignment="1">
      <alignment horizontal="right" vertical="center"/>
    </xf>
    <xf numFmtId="166" fontId="2" fillId="0" borderId="5" xfId="1" applyNumberFormat="1" applyFont="1" applyFill="1" applyBorder="1" applyAlignment="1">
      <alignment horizontal="right" vertical="center"/>
    </xf>
    <xf numFmtId="166" fontId="4" fillId="0" borderId="41" xfId="1" applyNumberFormat="1" applyFont="1" applyBorder="1" applyAlignment="1">
      <alignment horizontal="right" vertical="center"/>
    </xf>
    <xf numFmtId="166" fontId="8" fillId="2" borderId="22" xfId="1" applyNumberFormat="1" applyFont="1" applyFill="1" applyBorder="1" applyAlignment="1">
      <alignment horizontal="right" vertical="center" wrapText="1"/>
    </xf>
    <xf numFmtId="2" fontId="8" fillId="0" borderId="22" xfId="1" applyNumberFormat="1" applyFont="1" applyFill="1" applyBorder="1" applyAlignment="1">
      <alignment horizontal="right" vertical="center" wrapText="1"/>
    </xf>
    <xf numFmtId="166" fontId="1" fillId="0" borderId="24" xfId="1" applyNumberFormat="1" applyFont="1" applyFill="1" applyBorder="1" applyAlignment="1">
      <alignment horizontal="right" vertical="center" wrapText="1"/>
    </xf>
    <xf numFmtId="166" fontId="1" fillId="0" borderId="25" xfId="1" applyNumberFormat="1" applyFont="1" applyFill="1" applyBorder="1" applyAlignment="1">
      <alignment horizontal="right" vertical="center" wrapText="1"/>
    </xf>
    <xf numFmtId="165" fontId="1" fillId="0" borderId="25" xfId="1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wrapText="1"/>
    </xf>
    <xf numFmtId="3" fontId="3" fillId="0" borderId="30" xfId="0" applyNumberFormat="1" applyFont="1" applyBorder="1" applyAlignment="1">
      <alignment wrapText="1"/>
    </xf>
    <xf numFmtId="3" fontId="0" fillId="0" borderId="1" xfId="0" applyNumberFormat="1" applyFont="1" applyBorder="1"/>
    <xf numFmtId="3" fontId="0" fillId="0" borderId="31" xfId="0" applyNumberFormat="1" applyFont="1" applyBorder="1"/>
    <xf numFmtId="3" fontId="0" fillId="0" borderId="4" xfId="0" applyNumberFormat="1" applyFont="1" applyBorder="1" applyAlignment="1">
      <alignment horizontal="left" vertical="center" wrapText="1"/>
    </xf>
    <xf numFmtId="3" fontId="0" fillId="0" borderId="5" xfId="0" applyNumberFormat="1" applyFont="1" applyBorder="1"/>
    <xf numFmtId="3" fontId="0" fillId="0" borderId="28" xfId="0" applyNumberFormat="1" applyFont="1" applyBorder="1"/>
    <xf numFmtId="3" fontId="0" fillId="0" borderId="32" xfId="0" applyNumberFormat="1" applyFont="1" applyBorder="1" applyAlignment="1">
      <alignment vertical="center"/>
    </xf>
    <xf numFmtId="3" fontId="0" fillId="0" borderId="15" xfId="0" applyNumberFormat="1" applyFont="1" applyBorder="1"/>
    <xf numFmtId="3" fontId="0" fillId="0" borderId="6" xfId="0" applyNumberFormat="1" applyFont="1" applyBorder="1" applyAlignment="1">
      <alignment vertical="center"/>
    </xf>
    <xf numFmtId="3" fontId="0" fillId="0" borderId="5" xfId="0" applyNumberFormat="1" applyFont="1" applyFill="1" applyBorder="1" applyAlignment="1">
      <alignment horizontal="right"/>
    </xf>
    <xf numFmtId="3" fontId="0" fillId="0" borderId="28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left" vertical="center" wrapText="1"/>
    </xf>
    <xf numFmtId="3" fontId="0" fillId="0" borderId="5" xfId="3" applyNumberFormat="1" applyFont="1" applyFill="1" applyBorder="1" applyAlignment="1">
      <alignment horizontal="right"/>
    </xf>
    <xf numFmtId="3" fontId="0" fillId="0" borderId="5" xfId="0" applyNumberFormat="1" applyFont="1" applyFill="1" applyBorder="1"/>
    <xf numFmtId="3" fontId="0" fillId="0" borderId="6" xfId="0" quotePrefix="1" applyNumberFormat="1" applyFont="1" applyFill="1" applyBorder="1" applyAlignment="1">
      <alignment vertical="center" wrapText="1"/>
    </xf>
    <xf numFmtId="3" fontId="0" fillId="0" borderId="28" xfId="0" applyNumberFormat="1" applyFont="1" applyFill="1" applyBorder="1"/>
    <xf numFmtId="3" fontId="0" fillId="0" borderId="6" xfId="0" applyNumberFormat="1" applyFont="1" applyBorder="1" applyAlignment="1">
      <alignment vertical="center" wrapText="1"/>
    </xf>
    <xf numFmtId="3" fontId="0" fillId="2" borderId="5" xfId="0" applyNumberFormat="1" applyFont="1" applyFill="1" applyBorder="1"/>
    <xf numFmtId="3" fontId="0" fillId="0" borderId="20" xfId="0" applyNumberFormat="1" applyFont="1" applyBorder="1"/>
    <xf numFmtId="3" fontId="0" fillId="0" borderId="23" xfId="0" applyNumberFormat="1" applyFont="1" applyBorder="1" applyAlignment="1">
      <alignment vertical="center"/>
    </xf>
    <xf numFmtId="3" fontId="0" fillId="0" borderId="22" xfId="0" applyNumberFormat="1" applyFont="1" applyBorder="1"/>
    <xf numFmtId="3" fontId="0" fillId="0" borderId="33" xfId="0" applyNumberFormat="1" applyFont="1" applyBorder="1"/>
    <xf numFmtId="3" fontId="0" fillId="0" borderId="0" xfId="0" applyNumberFormat="1" applyFont="1"/>
    <xf numFmtId="3" fontId="0" fillId="0" borderId="6" xfId="0" applyNumberFormat="1" applyFont="1" applyFill="1" applyBorder="1" applyAlignment="1">
      <alignment vertical="center"/>
    </xf>
    <xf numFmtId="3" fontId="0" fillId="0" borderId="22" xfId="0" applyNumberFormat="1" applyFont="1" applyFill="1" applyBorder="1"/>
    <xf numFmtId="3" fontId="0" fillId="0" borderId="33" xfId="0" applyNumberFormat="1" applyFont="1" applyFill="1" applyBorder="1"/>
    <xf numFmtId="3" fontId="0" fillId="0" borderId="23" xfId="0" applyNumberFormat="1" applyFont="1" applyFill="1" applyBorder="1" applyAlignment="1">
      <alignment vertical="center"/>
    </xf>
    <xf numFmtId="3" fontId="0" fillId="0" borderId="7" xfId="0" applyNumberFormat="1" applyFont="1" applyFill="1" applyBorder="1"/>
    <xf numFmtId="3" fontId="0" fillId="0" borderId="34" xfId="0" applyNumberFormat="1" applyFont="1" applyFill="1" applyBorder="1"/>
    <xf numFmtId="3" fontId="0" fillId="0" borderId="8" xfId="0" applyNumberFormat="1" applyFont="1" applyFill="1" applyBorder="1" applyAlignment="1">
      <alignment vertical="center"/>
    </xf>
    <xf numFmtId="167" fontId="3" fillId="0" borderId="45" xfId="0" applyNumberFormat="1" applyFont="1" applyFill="1" applyBorder="1" applyAlignment="1">
      <alignment horizontal="left" vertical="center" wrapText="1"/>
    </xf>
    <xf numFmtId="167" fontId="3" fillId="0" borderId="44" xfId="0" applyNumberFormat="1" applyFont="1" applyFill="1" applyBorder="1" applyAlignment="1">
      <alignment horizontal="left" vertical="center" wrapText="1"/>
    </xf>
    <xf numFmtId="167" fontId="3" fillId="0" borderId="46" xfId="0" applyNumberFormat="1" applyFont="1" applyFill="1" applyBorder="1" applyAlignment="1">
      <alignment horizontal="left" vertical="center" wrapText="1"/>
    </xf>
    <xf numFmtId="3" fontId="3" fillId="0" borderId="25" xfId="1" applyNumberFormat="1" applyFont="1" applyFill="1" applyBorder="1" applyAlignment="1">
      <alignment horizontal="center" vertical="center" wrapText="1"/>
    </xf>
    <xf numFmtId="3" fontId="3" fillId="0" borderId="26" xfId="1" applyNumberFormat="1" applyFont="1" applyFill="1" applyBorder="1" applyAlignment="1">
      <alignment horizontal="center" vertical="center" wrapText="1"/>
    </xf>
    <xf numFmtId="3" fontId="3" fillId="0" borderId="27" xfId="1" applyNumberFormat="1" applyFont="1" applyFill="1" applyBorder="1" applyAlignment="1">
      <alignment horizontal="center" vertical="center" wrapText="1"/>
    </xf>
    <xf numFmtId="167" fontId="3" fillId="0" borderId="18" xfId="0" applyNumberFormat="1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/>
    <xf numFmtId="3" fontId="7" fillId="0" borderId="16" xfId="0" applyNumberFormat="1" applyFont="1" applyFill="1" applyBorder="1"/>
    <xf numFmtId="0" fontId="0" fillId="0" borderId="39" xfId="0" applyBorder="1"/>
    <xf numFmtId="0" fontId="0" fillId="0" borderId="39" xfId="0" applyBorder="1" applyAlignment="1">
      <alignment horizontal="left"/>
    </xf>
    <xf numFmtId="3" fontId="0" fillId="0" borderId="39" xfId="0" applyNumberFormat="1" applyBorder="1"/>
    <xf numFmtId="3" fontId="0" fillId="0" borderId="39" xfId="0" applyNumberFormat="1" applyFont="1" applyBorder="1" applyAlignment="1">
      <alignment horizontal="right"/>
    </xf>
    <xf numFmtId="166" fontId="8" fillId="2" borderId="16" xfId="1" applyNumberFormat="1" applyFont="1" applyFill="1" applyBorder="1" applyAlignment="1">
      <alignment horizontal="right" vertical="center" wrapText="1"/>
    </xf>
    <xf numFmtId="3" fontId="0" fillId="0" borderId="47" xfId="0" applyNumberFormat="1" applyBorder="1" applyAlignment="1">
      <alignment horizontal="right" vertical="center"/>
    </xf>
    <xf numFmtId="0" fontId="0" fillId="0" borderId="0" xfId="0"/>
    <xf numFmtId="3" fontId="0" fillId="0" borderId="39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3" fontId="0" fillId="0" borderId="48" xfId="0" applyNumberFormat="1" applyBorder="1" applyAlignment="1">
      <alignment horizontal="right" vertical="center"/>
    </xf>
    <xf numFmtId="3" fontId="13" fillId="0" borderId="49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5" xfId="0" applyNumberFormat="1" applyFont="1" applyFill="1" applyBorder="1" applyAlignment="1">
      <alignment horizontal="right" vertical="center"/>
    </xf>
    <xf numFmtId="3" fontId="7" fillId="0" borderId="17" xfId="0" applyNumberFormat="1" applyFont="1" applyBorder="1"/>
    <xf numFmtId="3" fontId="3" fillId="0" borderId="25" xfId="0" applyNumberFormat="1" applyFont="1" applyBorder="1" applyAlignment="1">
      <alignment horizontal="right" vertical="center" wrapText="1"/>
    </xf>
    <xf numFmtId="3" fontId="3" fillId="0" borderId="26" xfId="0" applyNumberFormat="1" applyFont="1" applyBorder="1" applyAlignment="1">
      <alignment horizontal="right" vertical="center" wrapText="1"/>
    </xf>
    <xf numFmtId="0" fontId="0" fillId="0" borderId="40" xfId="0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38" xfId="0" applyBorder="1"/>
    <xf numFmtId="0" fontId="0" fillId="0" borderId="24" xfId="0" applyBorder="1"/>
    <xf numFmtId="3" fontId="0" fillId="0" borderId="25" xfId="0" applyNumberFormat="1" applyBorder="1"/>
    <xf numFmtId="3" fontId="0" fillId="0" borderId="17" xfId="0" applyNumberFormat="1" applyFill="1" applyBorder="1"/>
    <xf numFmtId="0" fontId="0" fillId="3" borderId="51" xfId="0" applyFill="1" applyBorder="1"/>
    <xf numFmtId="3" fontId="0" fillId="3" borderId="7" xfId="0" applyNumberFormat="1" applyFill="1" applyBorder="1"/>
    <xf numFmtId="3" fontId="3" fillId="0" borderId="4" xfId="0" applyNumberFormat="1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6" xfId="0" applyFont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7" fillId="0" borderId="14" xfId="0" applyFont="1" applyBorder="1" applyAlignment="1">
      <alignment horizontal="left" vertical="center" wrapText="1"/>
    </xf>
    <xf numFmtId="3" fontId="0" fillId="0" borderId="14" xfId="0" applyNumberFormat="1" applyBorder="1" applyAlignment="1">
      <alignment horizontal="right" vertical="center" wrapText="1"/>
    </xf>
    <xf numFmtId="3" fontId="0" fillId="0" borderId="9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31" xfId="0" applyNumberFormat="1" applyBorder="1" applyAlignment="1">
      <alignment horizontal="right" vertical="center" wrapText="1"/>
    </xf>
    <xf numFmtId="0" fontId="0" fillId="0" borderId="14" xfId="0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0" fillId="0" borderId="15" xfId="0" applyNumberFormat="1" applyBorder="1" applyAlignment="1">
      <alignment horizontal="right" vertical="center" wrapText="1"/>
    </xf>
    <xf numFmtId="3" fontId="0" fillId="0" borderId="11" xfId="0" applyNumberFormat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 vertical="center" wrapText="1"/>
    </xf>
    <xf numFmtId="0" fontId="0" fillId="0" borderId="15" xfId="0" applyBorder="1" applyAlignment="1">
      <alignment horizontal="left" vertical="center" wrapText="1"/>
    </xf>
    <xf numFmtId="3" fontId="0" fillId="0" borderId="5" xfId="1" applyNumberFormat="1" applyFont="1" applyBorder="1" applyAlignment="1">
      <alignment horizontal="right" vertical="center" wrapText="1"/>
    </xf>
    <xf numFmtId="3" fontId="0" fillId="0" borderId="28" xfId="0" applyNumberForma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7" fillId="0" borderId="16" xfId="0" applyNumberFormat="1" applyFont="1" applyBorder="1"/>
    <xf numFmtId="3" fontId="7" fillId="0" borderId="57" xfId="0" applyNumberFormat="1" applyFont="1" applyBorder="1"/>
    <xf numFmtId="3" fontId="7" fillId="0" borderId="7" xfId="0" applyNumberFormat="1" applyFont="1" applyBorder="1"/>
    <xf numFmtId="0" fontId="7" fillId="0" borderId="16" xfId="0" applyFont="1" applyBorder="1" applyAlignment="1">
      <alignment wrapText="1"/>
    </xf>
    <xf numFmtId="3" fontId="0" fillId="3" borderId="8" xfId="0" applyNumberFormat="1" applyFill="1" applyBorder="1"/>
    <xf numFmtId="0" fontId="7" fillId="0" borderId="40" xfId="0" applyFont="1" applyBorder="1"/>
    <xf numFmtId="3" fontId="7" fillId="0" borderId="6" xfId="0" applyNumberFormat="1" applyFont="1" applyBorder="1"/>
    <xf numFmtId="3" fontId="14" fillId="0" borderId="39" xfId="0" applyNumberFormat="1" applyFont="1" applyBorder="1"/>
    <xf numFmtId="3" fontId="7" fillId="0" borderId="1" xfId="0" applyNumberFormat="1" applyFont="1" applyBorder="1"/>
    <xf numFmtId="3" fontId="7" fillId="0" borderId="4" xfId="0" applyNumberFormat="1" applyFont="1" applyBorder="1"/>
    <xf numFmtId="3" fontId="3" fillId="0" borderId="51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7" fillId="0" borderId="41" xfId="0" applyNumberFormat="1" applyFont="1" applyFill="1" applyBorder="1"/>
    <xf numFmtId="3" fontId="7" fillId="0" borderId="22" xfId="0" applyNumberFormat="1" applyFont="1" applyFill="1" applyBorder="1"/>
    <xf numFmtId="3" fontId="7" fillId="0" borderId="51" xfId="0" applyNumberFormat="1" applyFont="1" applyFill="1" applyBorder="1"/>
    <xf numFmtId="3" fontId="7" fillId="0" borderId="7" xfId="0" applyNumberFormat="1" applyFont="1" applyFill="1" applyBorder="1"/>
    <xf numFmtId="3" fontId="0" fillId="0" borderId="38" xfId="0" applyNumberFormat="1" applyFont="1" applyBorder="1"/>
    <xf numFmtId="3" fontId="0" fillId="0" borderId="39" xfId="0" applyNumberFormat="1" applyFont="1" applyBorder="1"/>
    <xf numFmtId="3" fontId="0" fillId="0" borderId="40" xfId="0" applyNumberFormat="1" applyFont="1" applyBorder="1"/>
    <xf numFmtId="3" fontId="0" fillId="0" borderId="41" xfId="0" applyNumberFormat="1" applyFont="1" applyBorder="1"/>
    <xf numFmtId="3" fontId="3" fillId="0" borderId="24" xfId="1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7" fontId="3" fillId="0" borderId="43" xfId="0" applyNumberFormat="1" applyFont="1" applyBorder="1" applyAlignment="1">
      <alignment horizontal="left" vertical="center" wrapText="1"/>
    </xf>
    <xf numFmtId="167" fontId="3" fillId="0" borderId="44" xfId="0" applyNumberFormat="1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center" wrapText="1"/>
    </xf>
    <xf numFmtId="3" fontId="3" fillId="0" borderId="16" xfId="0" applyNumberFormat="1" applyFont="1" applyBorder="1" applyAlignment="1">
      <alignment horizontal="center" wrapText="1"/>
    </xf>
    <xf numFmtId="3" fontId="3" fillId="0" borderId="43" xfId="0" applyNumberFormat="1" applyFont="1" applyBorder="1" applyAlignment="1">
      <alignment horizontal="center" wrapText="1"/>
    </xf>
    <xf numFmtId="3" fontId="3" fillId="0" borderId="52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54" xfId="0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le%20Zok/Downloads/GLO-Budget%20vs%20Actuals%20FY15-16-En%20-Final.22.04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labdal/AppData/Local/Microsoft/Windows/Temporary%20Internet%20Files/Content.Outlook/MQ3ZL66U/ETH-AnnualBudget%20Apr16-Mar17-EN-V8-19%2004%202016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A"/>
      <sheetName val="Pivot NX expenses"/>
      <sheetName val="NX Expense"/>
      <sheetName val="pivot P-expenses"/>
      <sheetName val="P-code expenses"/>
    </sheetNames>
    <sheetDataSet>
      <sheetData sheetId="0">
        <row r="31">
          <cell r="L31">
            <v>7536288.3499999996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nnual forecast"/>
      <sheetName val="Budget summary"/>
      <sheetName val="Country Management"/>
      <sheetName val="Relocation Expenses"/>
      <sheetName val="Implementation Activities"/>
      <sheetName val="Advocacy"/>
      <sheetName val="Strategic Planning"/>
      <sheetName val="Mapping"/>
      <sheetName val="Drug Logistics"/>
      <sheetName val="Social Mobilization"/>
      <sheetName val="Drug Distr Training"/>
      <sheetName val="Drug Distr Registration"/>
      <sheetName val="Drug Distribution"/>
      <sheetName val="M&amp;E"/>
    </sheetNames>
    <sheetDataSet>
      <sheetData sheetId="0" refreshError="1"/>
      <sheetData sheetId="1" refreshError="1"/>
      <sheetData sheetId="2">
        <row r="25">
          <cell r="B25">
            <v>44000</v>
          </cell>
        </row>
        <row r="27">
          <cell r="B27">
            <v>1749370.0406391951</v>
          </cell>
        </row>
      </sheetData>
      <sheetData sheetId="3">
        <row r="11">
          <cell r="G11">
            <v>14674.121999999999</v>
          </cell>
        </row>
        <row r="12">
          <cell r="G12">
            <v>14674.121999999999</v>
          </cell>
        </row>
        <row r="13">
          <cell r="G13">
            <v>14674.121999999999</v>
          </cell>
        </row>
        <row r="14">
          <cell r="G14">
            <v>9030.1935483870984</v>
          </cell>
        </row>
        <row r="15">
          <cell r="G15">
            <v>14674.121999999999</v>
          </cell>
        </row>
        <row r="16">
          <cell r="G16">
            <v>20317.93548387097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13"/>
  <sheetViews>
    <sheetView workbookViewId="0">
      <selection activeCell="L13" sqref="L13"/>
    </sheetView>
  </sheetViews>
  <sheetFormatPr defaultRowHeight="15" x14ac:dyDescent="0.25"/>
  <cols>
    <col min="2" max="2" width="58.7109375" customWidth="1"/>
    <col min="3" max="3" width="10.140625" style="8" bestFit="1" customWidth="1"/>
    <col min="8" max="10" width="9.140625" style="137"/>
    <col min="11" max="11" width="13.85546875" customWidth="1"/>
    <col min="12" max="12" width="14.85546875" customWidth="1"/>
    <col min="13" max="13" width="25.140625" style="37" customWidth="1"/>
  </cols>
  <sheetData>
    <row r="2" spans="2:14" ht="15.75" thickBot="1" x14ac:dyDescent="0.3">
      <c r="B2" s="5" t="s">
        <v>141</v>
      </c>
    </row>
    <row r="3" spans="2:14" ht="30.75" thickBot="1" x14ac:dyDescent="0.3">
      <c r="B3" s="158"/>
      <c r="C3" s="159"/>
      <c r="D3" s="152" t="s">
        <v>1</v>
      </c>
      <c r="E3" s="152" t="s">
        <v>2</v>
      </c>
      <c r="F3" s="152" t="s">
        <v>74</v>
      </c>
      <c r="G3" s="152" t="s">
        <v>3</v>
      </c>
      <c r="H3" s="152" t="s">
        <v>151</v>
      </c>
      <c r="I3" s="152" t="s">
        <v>106</v>
      </c>
      <c r="J3" s="152" t="s">
        <v>105</v>
      </c>
      <c r="K3" s="152" t="s">
        <v>26</v>
      </c>
      <c r="L3" s="153" t="s">
        <v>27</v>
      </c>
    </row>
    <row r="4" spans="2:14" ht="28.5" customHeight="1" x14ac:dyDescent="0.25">
      <c r="B4" s="157" t="s">
        <v>142</v>
      </c>
      <c r="C4" s="195">
        <f>'Income analysis'!B13</f>
        <v>10867812.733088667</v>
      </c>
      <c r="D4" s="196">
        <f>'Income analysis'!B5</f>
        <v>4285439.42</v>
      </c>
      <c r="E4" s="196">
        <f>269921-12168</f>
        <v>257753</v>
      </c>
      <c r="F4" s="196">
        <v>261645</v>
      </c>
      <c r="G4" s="196">
        <v>908860</v>
      </c>
      <c r="H4" s="196">
        <f>'Income analysis'!B9</f>
        <v>95000</v>
      </c>
      <c r="I4" s="196">
        <v>79105</v>
      </c>
      <c r="J4" s="196">
        <f>'Income analysis'!B11</f>
        <v>45460.775000000001</v>
      </c>
      <c r="K4" s="196">
        <f>'Income analysis'!B2</f>
        <v>2133897.947255333</v>
      </c>
      <c r="L4" s="197">
        <f>'Income analysis'!B3+'Income analysis'!B12</f>
        <v>2800651.5908333333</v>
      </c>
    </row>
    <row r="5" spans="2:14" ht="7.5" customHeight="1" x14ac:dyDescent="0.25">
      <c r="B5" s="209"/>
      <c r="C5" s="210"/>
      <c r="D5" s="210"/>
      <c r="E5" s="210"/>
      <c r="F5" s="210"/>
      <c r="G5" s="210"/>
      <c r="H5" s="210"/>
      <c r="I5" s="210"/>
      <c r="J5" s="210"/>
      <c r="K5" s="210"/>
      <c r="L5" s="211"/>
    </row>
    <row r="6" spans="2:14" ht="28.5" customHeight="1" x14ac:dyDescent="0.25">
      <c r="B6" s="154" t="s">
        <v>143</v>
      </c>
      <c r="C6" s="155">
        <f>Implementation!C25</f>
        <v>7290598.2436069371</v>
      </c>
      <c r="D6" s="155">
        <v>3235367.4024999999</v>
      </c>
      <c r="E6" s="155">
        <v>223217</v>
      </c>
      <c r="F6" s="155">
        <v>164712.9574135546</v>
      </c>
      <c r="G6" s="155">
        <v>851047.51612903224</v>
      </c>
      <c r="H6" s="155">
        <v>0</v>
      </c>
      <c r="I6" s="160">
        <v>0</v>
      </c>
      <c r="J6" s="155">
        <v>0</v>
      </c>
      <c r="K6" s="155">
        <v>0</v>
      </c>
      <c r="L6" s="156">
        <v>2816253.7875643503</v>
      </c>
    </row>
    <row r="7" spans="2:14" ht="28.5" customHeight="1" x14ac:dyDescent="0.25">
      <c r="B7" s="154" t="s">
        <v>144</v>
      </c>
      <c r="C7" s="155">
        <f>'rolled over implementation'!B24</f>
        <v>277090</v>
      </c>
      <c r="D7" s="155">
        <f>'rolled over implementation'!C24</f>
        <v>79775</v>
      </c>
      <c r="E7" s="155"/>
      <c r="F7" s="155"/>
      <c r="G7" s="155"/>
      <c r="H7" s="155"/>
      <c r="I7" s="155"/>
      <c r="J7" s="155"/>
      <c r="K7" s="155"/>
      <c r="L7" s="156">
        <f>'rolled over implementation'!H24</f>
        <v>197315</v>
      </c>
    </row>
    <row r="8" spans="2:14" ht="28.5" customHeight="1" x14ac:dyDescent="0.25">
      <c r="B8" s="154" t="s">
        <v>145</v>
      </c>
      <c r="C8" s="155">
        <f>Research!B25</f>
        <v>286027</v>
      </c>
      <c r="D8" s="155">
        <f>Research!C25</f>
        <v>0</v>
      </c>
      <c r="E8" s="155">
        <f>Research!D25</f>
        <v>0</v>
      </c>
      <c r="F8" s="155">
        <f>Research!E25</f>
        <v>14462</v>
      </c>
      <c r="G8" s="155">
        <f>Research!F25</f>
        <v>0</v>
      </c>
      <c r="H8" s="155">
        <f>Research!G25</f>
        <v>95000</v>
      </c>
      <c r="I8" s="155">
        <f>Research!H25</f>
        <v>79105</v>
      </c>
      <c r="J8" s="155">
        <f>Research!I25</f>
        <v>45460.775000000001</v>
      </c>
      <c r="K8" s="155">
        <f>Research!J25</f>
        <v>8000</v>
      </c>
      <c r="L8" s="156">
        <f>Research!K25</f>
        <v>44000</v>
      </c>
    </row>
    <row r="9" spans="2:14" ht="28.5" customHeight="1" x14ac:dyDescent="0.25">
      <c r="B9" s="154" t="s">
        <v>146</v>
      </c>
      <c r="C9" s="155">
        <f>'Central costs'!B15</f>
        <v>2286579.2815483874</v>
      </c>
      <c r="D9" s="155">
        <f>'Central costs'!C15</f>
        <v>970296.72998772399</v>
      </c>
      <c r="E9" s="155">
        <f>'Central costs'!D15</f>
        <v>34536</v>
      </c>
      <c r="F9" s="155">
        <f>'Central costs'!E15</f>
        <v>82469.717425155395</v>
      </c>
      <c r="G9" s="155">
        <f>'Central costs'!F15</f>
        <v>57812.256727925742</v>
      </c>
      <c r="H9" s="155">
        <f>'Central costs'!H15</f>
        <v>0</v>
      </c>
      <c r="I9" s="155">
        <f>'Central costs'!I15</f>
        <v>0</v>
      </c>
      <c r="J9" s="155">
        <f>'Central costs'!I15</f>
        <v>0</v>
      </c>
      <c r="K9" s="155">
        <f>'Central costs'!J15</f>
        <v>643378.02740758192</v>
      </c>
      <c r="L9" s="156">
        <f>'Central costs'!K15</f>
        <v>498085</v>
      </c>
    </row>
    <row r="10" spans="2:14" ht="28.5" customHeight="1" x14ac:dyDescent="0.25">
      <c r="B10" s="154" t="s">
        <v>147</v>
      </c>
      <c r="C10" s="155">
        <f>SUM(C6:C9)/12</f>
        <v>845024.54376294371</v>
      </c>
      <c r="D10" s="155"/>
      <c r="E10" s="155"/>
      <c r="F10" s="155"/>
      <c r="G10" s="155"/>
      <c r="H10" s="155"/>
      <c r="I10" s="155"/>
      <c r="J10" s="155"/>
      <c r="K10" s="155"/>
      <c r="L10" s="156">
        <f>C10</f>
        <v>845024.54376294371</v>
      </c>
    </row>
    <row r="11" spans="2:14" ht="28.5" customHeight="1" x14ac:dyDescent="0.25">
      <c r="B11" s="193" t="s">
        <v>152</v>
      </c>
      <c r="C11" s="15">
        <f>SUM(C6:C10)</f>
        <v>10985319.068918269</v>
      </c>
      <c r="D11" s="15">
        <f t="shared" ref="D11:L11" si="0">SUM(D6:D10)</f>
        <v>4285439.1324877236</v>
      </c>
      <c r="E11" s="15">
        <f t="shared" si="0"/>
        <v>257753</v>
      </c>
      <c r="F11" s="15">
        <f t="shared" si="0"/>
        <v>261644.67483870999</v>
      </c>
      <c r="G11" s="15">
        <f t="shared" si="0"/>
        <v>908859.77285695798</v>
      </c>
      <c r="H11" s="15">
        <f t="shared" si="0"/>
        <v>95000</v>
      </c>
      <c r="I11" s="15">
        <f t="shared" si="0"/>
        <v>79105</v>
      </c>
      <c r="J11" s="15">
        <f t="shared" si="0"/>
        <v>45460.775000000001</v>
      </c>
      <c r="K11" s="15">
        <f t="shared" si="0"/>
        <v>651378.02740758192</v>
      </c>
      <c r="L11" s="194">
        <f t="shared" si="0"/>
        <v>4400678.331327294</v>
      </c>
    </row>
    <row r="12" spans="2:14" s="137" customFormat="1" ht="7.5" customHeight="1" x14ac:dyDescent="0.25"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4"/>
      <c r="M12" s="37"/>
    </row>
    <row r="13" spans="2:14" ht="47.25" customHeight="1" thickBot="1" x14ac:dyDescent="0.3">
      <c r="B13" s="161" t="s">
        <v>153</v>
      </c>
      <c r="C13" s="162">
        <f t="shared" ref="C13:L13" si="1">C4-C11</f>
        <v>-117506.33582960255</v>
      </c>
      <c r="D13" s="162">
        <f t="shared" si="1"/>
        <v>0.28751227632164955</v>
      </c>
      <c r="E13" s="162">
        <f t="shared" si="1"/>
        <v>0</v>
      </c>
      <c r="F13" s="162">
        <f t="shared" si="1"/>
        <v>0.32516129000578076</v>
      </c>
      <c r="G13" s="162">
        <f t="shared" si="1"/>
        <v>0.22714304202236235</v>
      </c>
      <c r="H13" s="162">
        <f t="shared" si="1"/>
        <v>0</v>
      </c>
      <c r="I13" s="162">
        <f t="shared" si="1"/>
        <v>0</v>
      </c>
      <c r="J13" s="162">
        <f t="shared" si="1"/>
        <v>0</v>
      </c>
      <c r="K13" s="162">
        <f t="shared" si="1"/>
        <v>1482519.919847751</v>
      </c>
      <c r="L13" s="192">
        <f t="shared" si="1"/>
        <v>-1600026.7404939607</v>
      </c>
      <c r="M13" s="37" t="s">
        <v>160</v>
      </c>
      <c r="N13" t="s">
        <v>159</v>
      </c>
    </row>
  </sheetData>
  <sheetProtection algorithmName="SHA-512" hashValue="F4NvMvQoz4y7QhgzcwGGISeAML9r3PhEk47EtCSic3icaBz8M1lnoihhRMRz1q1UncfaNQBe9uT0BxEpIslfLg==" saltValue="wE++iQc38N1r9sWInw+25Q==" spinCount="100000" sheet="1" objects="1" scenarios="1"/>
  <mergeCells count="2">
    <mergeCell ref="B5:L5"/>
    <mergeCell ref="B12:L1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13"/>
  <sheetViews>
    <sheetView workbookViewId="0">
      <selection activeCell="B5" sqref="B5"/>
    </sheetView>
  </sheetViews>
  <sheetFormatPr defaultRowHeight="15" x14ac:dyDescent="0.25"/>
  <cols>
    <col min="1" max="1" width="49.5703125" bestFit="1" customWidth="1"/>
    <col min="2" max="2" width="11.7109375" style="8" bestFit="1" customWidth="1"/>
    <col min="3" max="3" width="38.28515625" bestFit="1" customWidth="1"/>
  </cols>
  <sheetData>
    <row r="2" spans="1:2" ht="27.75" customHeight="1" x14ac:dyDescent="0.25">
      <c r="A2" s="12" t="s">
        <v>108</v>
      </c>
      <c r="B2" s="41">
        <v>2133897.947255333</v>
      </c>
    </row>
    <row r="3" spans="1:2" ht="27.75" customHeight="1" x14ac:dyDescent="0.25">
      <c r="A3" s="14" t="s">
        <v>102</v>
      </c>
      <c r="B3" s="16">
        <f>1763573.62+1665102</f>
        <v>3428675.62</v>
      </c>
    </row>
    <row r="4" spans="1:2" ht="27.75" customHeight="1" x14ac:dyDescent="0.25">
      <c r="A4" s="13" t="s">
        <v>101</v>
      </c>
      <c r="B4" s="17">
        <v>0</v>
      </c>
    </row>
    <row r="5" spans="1:2" ht="27.75" customHeight="1" x14ac:dyDescent="0.25">
      <c r="A5" s="13" t="s">
        <v>109</v>
      </c>
      <c r="B5" s="18">
        <f>4672959.42-467295+'rolled over implementation'!C8</f>
        <v>4285439.42</v>
      </c>
    </row>
    <row r="6" spans="1:2" ht="27.75" customHeight="1" x14ac:dyDescent="0.25">
      <c r="A6" s="13" t="s">
        <v>110</v>
      </c>
      <c r="B6" s="18">
        <f>summary!E4</f>
        <v>257753</v>
      </c>
    </row>
    <row r="7" spans="1:2" ht="27.75" customHeight="1" x14ac:dyDescent="0.25">
      <c r="A7" s="13" t="s">
        <v>116</v>
      </c>
      <c r="B7" s="18">
        <f>summary!F4</f>
        <v>261645</v>
      </c>
    </row>
    <row r="8" spans="1:2" ht="27.75" customHeight="1" x14ac:dyDescent="0.25">
      <c r="A8" s="13" t="s">
        <v>117</v>
      </c>
      <c r="B8" s="18">
        <f>summary!G4</f>
        <v>908860</v>
      </c>
    </row>
    <row r="9" spans="1:2" ht="27.75" customHeight="1" x14ac:dyDescent="0.25">
      <c r="A9" s="13" t="s">
        <v>118</v>
      </c>
      <c r="B9" s="18">
        <f>92000+3000</f>
        <v>95000</v>
      </c>
    </row>
    <row r="10" spans="1:2" ht="27.75" customHeight="1" x14ac:dyDescent="0.25">
      <c r="A10" s="13" t="s">
        <v>111</v>
      </c>
      <c r="B10" s="18">
        <f>summary!I4</f>
        <v>79105</v>
      </c>
    </row>
    <row r="11" spans="1:2" ht="27.75" customHeight="1" x14ac:dyDescent="0.25">
      <c r="A11" s="13" t="s">
        <v>119</v>
      </c>
      <c r="B11" s="18">
        <f>Research!I5</f>
        <v>45460.775000000001</v>
      </c>
    </row>
    <row r="12" spans="1:2" ht="27.75" customHeight="1" x14ac:dyDescent="0.25">
      <c r="A12" s="13" t="s">
        <v>77</v>
      </c>
      <c r="B12" s="18">
        <f>-1*[1]BVA!$L$31/12</f>
        <v>-628024.02916666667</v>
      </c>
    </row>
    <row r="13" spans="1:2" ht="27.75" customHeight="1" x14ac:dyDescent="0.25">
      <c r="A13" s="1" t="s">
        <v>100</v>
      </c>
      <c r="B13" s="15">
        <f>SUM(B2:B12)</f>
        <v>10867812.733088667</v>
      </c>
    </row>
  </sheetData>
  <sheetProtection algorithmName="SHA-512" hashValue="bvm1/tXGO4uCe1vKNdbihuanUmQLcTgw6weAkp6p4DMJKNuaDxbzgqtPQyKba3DwiN0rq124r1/PATfLesSTzw==" saltValue="BVKp0c3Savl3bu1Of6SX4Q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zoomScaleNormal="100" workbookViewId="0">
      <selection activeCell="D9" sqref="D9"/>
    </sheetView>
  </sheetViews>
  <sheetFormatPr defaultRowHeight="15" x14ac:dyDescent="0.25"/>
  <cols>
    <col min="1" max="1" width="13.7109375" customWidth="1"/>
    <col min="2" max="2" width="14" style="43" customWidth="1"/>
    <col min="3" max="4" width="13.7109375" style="43" customWidth="1"/>
    <col min="5" max="5" width="14.140625" style="44" customWidth="1"/>
    <col min="6" max="7" width="14.85546875" style="44" customWidth="1"/>
    <col min="8" max="8" width="14.7109375" style="44" customWidth="1"/>
    <col min="9" max="9" width="14.7109375" style="44" bestFit="1" customWidth="1"/>
    <col min="10" max="10" width="18.5703125" style="44" customWidth="1"/>
    <col min="11" max="11" width="36.7109375" customWidth="1"/>
    <col min="12" max="12" width="50" customWidth="1"/>
    <col min="13" max="13" width="18.7109375" style="8" customWidth="1"/>
  </cols>
  <sheetData>
    <row r="1" spans="1:13" ht="15.75" thickBot="1" x14ac:dyDescent="0.3"/>
    <row r="2" spans="1:13" ht="30" customHeight="1" x14ac:dyDescent="0.25">
      <c r="A2" s="218" t="s">
        <v>0</v>
      </c>
      <c r="B2" s="220" t="s">
        <v>103</v>
      </c>
      <c r="C2" s="222" t="s">
        <v>24</v>
      </c>
      <c r="D2" s="222" t="s">
        <v>112</v>
      </c>
      <c r="E2" s="215" t="s">
        <v>25</v>
      </c>
      <c r="F2" s="216"/>
      <c r="G2" s="216"/>
      <c r="H2" s="216"/>
      <c r="I2" s="216"/>
      <c r="J2" s="217"/>
    </row>
    <row r="3" spans="1:13" ht="30" customHeight="1" thickBot="1" x14ac:dyDescent="0.3">
      <c r="A3" s="219"/>
      <c r="B3" s="221"/>
      <c r="C3" s="223"/>
      <c r="D3" s="223"/>
      <c r="E3" s="45" t="s">
        <v>1</v>
      </c>
      <c r="F3" s="46" t="s">
        <v>2</v>
      </c>
      <c r="G3" s="46" t="s">
        <v>74</v>
      </c>
      <c r="H3" s="46" t="s">
        <v>3</v>
      </c>
      <c r="I3" s="46" t="s">
        <v>26</v>
      </c>
      <c r="J3" s="47" t="s">
        <v>27</v>
      </c>
    </row>
    <row r="4" spans="1:13" s="137" customFormat="1" ht="30" customHeight="1" x14ac:dyDescent="0.25">
      <c r="A4" s="148" t="s">
        <v>140</v>
      </c>
      <c r="B4" s="144"/>
      <c r="C4" s="150">
        <v>126643.63999999998</v>
      </c>
      <c r="D4" s="145"/>
      <c r="E4" s="149">
        <f>C4</f>
        <v>126643.63999999998</v>
      </c>
      <c r="F4" s="146"/>
      <c r="G4" s="146"/>
      <c r="H4" s="146"/>
      <c r="I4" s="146"/>
      <c r="J4" s="147"/>
      <c r="M4" s="8"/>
    </row>
    <row r="5" spans="1:13" ht="30" customHeight="1" x14ac:dyDescent="0.25">
      <c r="A5" s="143" t="s">
        <v>17</v>
      </c>
      <c r="B5" s="72">
        <v>600000</v>
      </c>
      <c r="C5" s="73">
        <f>B5*D5</f>
        <v>60000</v>
      </c>
      <c r="D5" s="74">
        <v>0.1</v>
      </c>
      <c r="E5" s="136"/>
      <c r="F5" s="138"/>
      <c r="G5" s="138"/>
      <c r="H5" s="138"/>
      <c r="I5" s="138"/>
      <c r="J5" s="139">
        <v>60000</v>
      </c>
    </row>
    <row r="6" spans="1:13" ht="30" customHeight="1" x14ac:dyDescent="0.25">
      <c r="A6" s="3" t="s">
        <v>5</v>
      </c>
      <c r="B6" s="75">
        <v>2415176</v>
      </c>
      <c r="C6" s="76">
        <v>588910</v>
      </c>
      <c r="D6" s="77">
        <f>C6/B6</f>
        <v>0.24383730212622184</v>
      </c>
      <c r="E6" s="51">
        <v>441682.5</v>
      </c>
      <c r="F6" s="52"/>
      <c r="G6" s="52"/>
      <c r="H6" s="52"/>
      <c r="I6" s="52"/>
      <c r="J6" s="53">
        <v>147227.5</v>
      </c>
    </row>
    <row r="7" spans="1:13" ht="30" customHeight="1" x14ac:dyDescent="0.25">
      <c r="A7" s="3" t="s">
        <v>15</v>
      </c>
      <c r="B7" s="75">
        <v>3640047</v>
      </c>
      <c r="C7" s="76">
        <v>570000</v>
      </c>
      <c r="D7" s="77">
        <f>C7/B7</f>
        <v>0.15659138467168143</v>
      </c>
      <c r="E7" s="51">
        <v>427500</v>
      </c>
      <c r="F7" s="52"/>
      <c r="G7" s="52"/>
      <c r="H7" s="52"/>
      <c r="I7" s="52"/>
      <c r="J7" s="53">
        <v>142500</v>
      </c>
    </row>
    <row r="8" spans="1:13" ht="30" customHeight="1" x14ac:dyDescent="0.25">
      <c r="A8" s="3" t="s">
        <v>16</v>
      </c>
      <c r="B8" s="78">
        <v>13153769</v>
      </c>
      <c r="C8" s="79">
        <f>'[2]Budget summary'!$B$27-'[2]Budget summary'!$B$25-SUM('[2]Country Management'!$G$11:$G$16)</f>
        <v>1617325.4236069371</v>
      </c>
      <c r="D8" s="77">
        <f>C8/B8</f>
        <v>0.12295528556164678</v>
      </c>
      <c r="E8" s="54">
        <v>200000</v>
      </c>
      <c r="F8" s="55"/>
      <c r="G8" s="55">
        <f>222419.35483871-Personnel!F50</f>
        <v>164712.9574135546</v>
      </c>
      <c r="H8" s="56">
        <v>438464.51612903224</v>
      </c>
      <c r="I8" s="55"/>
      <c r="J8" s="57">
        <f>C8-E8-G8-H8</f>
        <v>814147.95006435015</v>
      </c>
    </row>
    <row r="9" spans="1:13" ht="30" customHeight="1" x14ac:dyDescent="0.25">
      <c r="A9" s="3" t="s">
        <v>6</v>
      </c>
      <c r="B9" s="72">
        <v>916849</v>
      </c>
      <c r="C9" s="76">
        <f>B9*D9</f>
        <v>229212.25</v>
      </c>
      <c r="D9" s="77">
        <v>0.25</v>
      </c>
      <c r="E9" s="51">
        <v>80000</v>
      </c>
      <c r="F9" s="52"/>
      <c r="G9" s="52"/>
      <c r="H9" s="52">
        <v>80000</v>
      </c>
      <c r="I9" s="52"/>
      <c r="J9" s="53">
        <v>69212.25</v>
      </c>
    </row>
    <row r="10" spans="1:13" ht="30" customHeight="1" x14ac:dyDescent="0.25">
      <c r="A10" s="3" t="s">
        <v>20</v>
      </c>
      <c r="B10" s="75">
        <v>1500000</v>
      </c>
      <c r="C10" s="76">
        <v>223217</v>
      </c>
      <c r="D10" s="77">
        <f>C10/B10</f>
        <v>0.14881133333333332</v>
      </c>
      <c r="E10" s="51"/>
      <c r="F10" s="52">
        <v>223217</v>
      </c>
      <c r="G10" s="52"/>
      <c r="H10" s="52"/>
      <c r="I10" s="52"/>
      <c r="J10" s="53"/>
    </row>
    <row r="11" spans="1:13" ht="30" customHeight="1" x14ac:dyDescent="0.25">
      <c r="A11" s="3" t="s">
        <v>7</v>
      </c>
      <c r="B11" s="75">
        <v>6000000</v>
      </c>
      <c r="C11" s="76">
        <v>623319</v>
      </c>
      <c r="D11" s="77">
        <f>C11/B11</f>
        <v>0.10388650000000001</v>
      </c>
      <c r="E11" s="51">
        <v>300000</v>
      </c>
      <c r="F11" s="52"/>
      <c r="G11" s="52"/>
      <c r="H11" s="52"/>
      <c r="I11" s="52"/>
      <c r="J11" s="53">
        <v>323319</v>
      </c>
    </row>
    <row r="12" spans="1:13" ht="30" customHeight="1" x14ac:dyDescent="0.25">
      <c r="A12" s="3" t="s">
        <v>23</v>
      </c>
      <c r="B12" s="75">
        <v>200000</v>
      </c>
      <c r="C12" s="76">
        <f>B12*D12</f>
        <v>50000</v>
      </c>
      <c r="D12" s="77">
        <v>0.25</v>
      </c>
      <c r="E12" s="51"/>
      <c r="F12" s="52"/>
      <c r="G12" s="52"/>
      <c r="H12" s="52"/>
      <c r="I12" s="52"/>
      <c r="J12" s="53">
        <v>50000</v>
      </c>
    </row>
    <row r="13" spans="1:13" ht="30" customHeight="1" x14ac:dyDescent="0.25">
      <c r="A13" s="3" t="s">
        <v>8</v>
      </c>
      <c r="B13" s="75">
        <v>5785858</v>
      </c>
      <c r="C13" s="76">
        <f>B13*D13</f>
        <v>433939.35</v>
      </c>
      <c r="D13" s="77">
        <v>7.4999999999999997E-2</v>
      </c>
      <c r="E13" s="51">
        <v>325454.51249999995</v>
      </c>
      <c r="F13" s="52"/>
      <c r="G13" s="52"/>
      <c r="H13" s="52"/>
      <c r="I13" s="52"/>
      <c r="J13" s="53">
        <v>108484.83750000002</v>
      </c>
    </row>
    <row r="14" spans="1:13" ht="30" customHeight="1" x14ac:dyDescent="0.25">
      <c r="A14" s="3" t="s">
        <v>11</v>
      </c>
      <c r="B14" s="75">
        <v>2175913</v>
      </c>
      <c r="C14" s="76">
        <v>201597</v>
      </c>
      <c r="D14" s="77">
        <f>C14/B14</f>
        <v>9.2649384419321912E-2</v>
      </c>
      <c r="E14" s="51">
        <v>151197.75</v>
      </c>
      <c r="F14" s="52"/>
      <c r="G14" s="52"/>
      <c r="H14" s="52"/>
      <c r="I14" s="52"/>
      <c r="J14" s="53">
        <v>50399.25</v>
      </c>
    </row>
    <row r="15" spans="1:13" ht="30" customHeight="1" x14ac:dyDescent="0.25">
      <c r="A15" s="3" t="s">
        <v>104</v>
      </c>
      <c r="B15" s="75">
        <f>C15/D15</f>
        <v>1600000</v>
      </c>
      <c r="C15" s="76">
        <v>400000</v>
      </c>
      <c r="D15" s="77">
        <v>0.25</v>
      </c>
      <c r="E15" s="51"/>
      <c r="F15" s="52"/>
      <c r="G15" s="52"/>
      <c r="H15" s="52"/>
      <c r="I15" s="52"/>
      <c r="J15" s="53">
        <f>C15</f>
        <v>400000</v>
      </c>
    </row>
    <row r="16" spans="1:13" ht="30" customHeight="1" x14ac:dyDescent="0.25">
      <c r="A16" s="3" t="s">
        <v>18</v>
      </c>
      <c r="B16" s="75">
        <v>1500000</v>
      </c>
      <c r="C16" s="76">
        <f>B16*D16</f>
        <v>150000</v>
      </c>
      <c r="D16" s="77">
        <v>0.1</v>
      </c>
      <c r="E16" s="51"/>
      <c r="F16" s="52"/>
      <c r="G16" s="52"/>
      <c r="H16" s="52">
        <v>150000</v>
      </c>
      <c r="I16" s="52"/>
      <c r="J16" s="53"/>
    </row>
    <row r="17" spans="1:12" ht="30" customHeight="1" x14ac:dyDescent="0.25">
      <c r="A17" s="3" t="s">
        <v>19</v>
      </c>
      <c r="B17" s="75" t="s">
        <v>28</v>
      </c>
      <c r="C17" s="80" t="s">
        <v>28</v>
      </c>
      <c r="D17" s="81" t="s">
        <v>28</v>
      </c>
      <c r="E17" s="51"/>
      <c r="F17" s="52"/>
      <c r="G17" s="52"/>
      <c r="H17" s="52"/>
      <c r="I17" s="52"/>
      <c r="J17" s="53"/>
    </row>
    <row r="18" spans="1:12" ht="30" customHeight="1" x14ac:dyDescent="0.25">
      <c r="A18" s="3" t="s">
        <v>22</v>
      </c>
      <c r="B18" s="75">
        <v>5000000</v>
      </c>
      <c r="C18" s="76">
        <v>250000</v>
      </c>
      <c r="D18" s="77">
        <f>C18/B18</f>
        <v>0.05</v>
      </c>
      <c r="E18" s="51"/>
      <c r="F18" s="52"/>
      <c r="G18" s="52"/>
      <c r="H18" s="52"/>
      <c r="I18" s="52"/>
      <c r="J18" s="53">
        <v>250000</v>
      </c>
    </row>
    <row r="19" spans="1:12" ht="30" customHeight="1" x14ac:dyDescent="0.25">
      <c r="A19" s="3" t="s">
        <v>9</v>
      </c>
      <c r="B19" s="75">
        <v>2470462</v>
      </c>
      <c r="C19" s="76">
        <v>604552</v>
      </c>
      <c r="D19" s="77">
        <f>C19/B19</f>
        <v>0.24471212267179177</v>
      </c>
      <c r="E19" s="51">
        <v>453414</v>
      </c>
      <c r="F19" s="52"/>
      <c r="G19" s="52"/>
      <c r="H19" s="52"/>
      <c r="I19" s="52"/>
      <c r="J19" s="53">
        <v>151138</v>
      </c>
    </row>
    <row r="20" spans="1:12" ht="30" customHeight="1" x14ac:dyDescent="0.25">
      <c r="A20" s="3" t="s">
        <v>12</v>
      </c>
      <c r="B20" s="75">
        <v>1145755</v>
      </c>
      <c r="C20" s="76">
        <v>227300</v>
      </c>
      <c r="D20" s="77">
        <f>C20/B20</f>
        <v>0.19838447137477036</v>
      </c>
      <c r="E20" s="51">
        <v>170475</v>
      </c>
      <c r="F20" s="52"/>
      <c r="G20" s="52"/>
      <c r="H20" s="52"/>
      <c r="I20" s="52"/>
      <c r="J20" s="53">
        <v>56825</v>
      </c>
    </row>
    <row r="21" spans="1:12" ht="30" customHeight="1" x14ac:dyDescent="0.25">
      <c r="A21" s="3" t="s">
        <v>21</v>
      </c>
      <c r="B21" s="82">
        <v>403339</v>
      </c>
      <c r="C21" s="83">
        <v>182582.58</v>
      </c>
      <c r="D21" s="77">
        <f>C21/B21</f>
        <v>0.45267772270968093</v>
      </c>
      <c r="E21" s="54"/>
      <c r="F21" s="55"/>
      <c r="G21" s="55"/>
      <c r="H21" s="55">
        <v>182583</v>
      </c>
      <c r="I21" s="55"/>
      <c r="J21" s="57"/>
    </row>
    <row r="22" spans="1:12" ht="30" customHeight="1" x14ac:dyDescent="0.25">
      <c r="A22" s="3" t="s">
        <v>10</v>
      </c>
      <c r="B22" s="75">
        <v>2000000</v>
      </c>
      <c r="C22" s="76">
        <f>B22*D22</f>
        <v>380000</v>
      </c>
      <c r="D22" s="77">
        <v>0.19</v>
      </c>
      <c r="E22" s="51">
        <v>285000</v>
      </c>
      <c r="F22" s="52"/>
      <c r="G22" s="52"/>
      <c r="H22" s="52"/>
      <c r="I22" s="52"/>
      <c r="J22" s="53">
        <v>95000</v>
      </c>
    </row>
    <row r="23" spans="1:12" ht="30" customHeight="1" x14ac:dyDescent="0.25">
      <c r="A23" s="3" t="s">
        <v>14</v>
      </c>
      <c r="B23" s="75">
        <v>600000</v>
      </c>
      <c r="C23" s="76">
        <f>B23*D23</f>
        <v>120000</v>
      </c>
      <c r="D23" s="77">
        <v>0.2</v>
      </c>
      <c r="E23" s="51">
        <v>85000</v>
      </c>
      <c r="F23" s="52"/>
      <c r="G23" s="52"/>
      <c r="H23" s="52"/>
      <c r="I23" s="52"/>
      <c r="J23" s="53">
        <v>35000</v>
      </c>
    </row>
    <row r="24" spans="1:12" ht="30" customHeight="1" thickBot="1" x14ac:dyDescent="0.3">
      <c r="A24" s="10" t="s">
        <v>13</v>
      </c>
      <c r="B24" s="84">
        <v>1400000</v>
      </c>
      <c r="C24" s="85">
        <f>B24*D24</f>
        <v>252000</v>
      </c>
      <c r="D24" s="86">
        <v>0.18</v>
      </c>
      <c r="E24" s="60">
        <v>189000</v>
      </c>
      <c r="F24" s="61"/>
      <c r="G24" s="61"/>
      <c r="H24" s="61"/>
      <c r="I24" s="61"/>
      <c r="J24" s="62">
        <v>63000</v>
      </c>
    </row>
    <row r="25" spans="1:12" ht="30" customHeight="1" thickBot="1" x14ac:dyDescent="0.3">
      <c r="A25" s="11" t="s">
        <v>29</v>
      </c>
      <c r="B25" s="87">
        <f>SUM(B5:B24)</f>
        <v>52507168</v>
      </c>
      <c r="C25" s="88">
        <f>SUM(C4:C24)</f>
        <v>7290598.2436069371</v>
      </c>
      <c r="D25" s="89">
        <f>C25/B25</f>
        <v>0.13884958037742459</v>
      </c>
      <c r="E25" s="63">
        <f>SUM(E4:E24)</f>
        <v>3235367.4024999999</v>
      </c>
      <c r="F25" s="64">
        <f t="shared" ref="F25:J25" si="0">SUM(F5:F24)</f>
        <v>223217</v>
      </c>
      <c r="G25" s="65">
        <f t="shared" si="0"/>
        <v>164712.9574135546</v>
      </c>
      <c r="H25" s="65">
        <f t="shared" si="0"/>
        <v>851047.51612903224</v>
      </c>
      <c r="I25" s="65">
        <f t="shared" si="0"/>
        <v>0</v>
      </c>
      <c r="J25" s="66">
        <f t="shared" si="0"/>
        <v>2816253.7875643503</v>
      </c>
    </row>
    <row r="26" spans="1:12" ht="37.5" customHeight="1" x14ac:dyDescent="0.25"/>
    <row r="27" spans="1:12" x14ac:dyDescent="0.25">
      <c r="C27" s="67"/>
    </row>
    <row r="28" spans="1:12" x14ac:dyDescent="0.25">
      <c r="L28" s="4"/>
    </row>
    <row r="29" spans="1:12" x14ac:dyDescent="0.25">
      <c r="D29" s="42"/>
    </row>
    <row r="30" spans="1:12" x14ac:dyDescent="0.25">
      <c r="E30" s="68"/>
      <c r="F30" s="68"/>
    </row>
  </sheetData>
  <sheetProtection algorithmName="SHA-512" hashValue="/Ocn+f1BPA5PwDD4gQMbGXv/TBXz86nfUpZy49WedSjabTxOo19XjpGAN7ErkSCGA+Cb9fRinBtjrfwhd7XJBg==" saltValue="MqYclZ7IXIAnUhyPl5h6+A==" spinCount="100000" sheet="1" objects="1" scenarios="1"/>
  <autoFilter ref="A1:J26"/>
  <sortState ref="A4:A23">
    <sortCondition ref="A4"/>
  </sortState>
  <mergeCells count="5">
    <mergeCell ref="E2:J2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C12" sqref="C12"/>
    </sheetView>
  </sheetViews>
  <sheetFormatPr defaultRowHeight="15" x14ac:dyDescent="0.25"/>
  <cols>
    <col min="1" max="1" width="13.7109375" customWidth="1"/>
    <col min="2" max="2" width="13.7109375" style="43" customWidth="1"/>
    <col min="3" max="3" width="14.140625" style="44" customWidth="1"/>
    <col min="4" max="5" width="14.85546875" style="44" customWidth="1"/>
    <col min="6" max="6" width="14.7109375" style="44" customWidth="1"/>
    <col min="7" max="7" width="14.7109375" style="44" bestFit="1" customWidth="1"/>
    <col min="8" max="8" width="18.5703125" style="44" customWidth="1"/>
    <col min="9" max="9" width="36.7109375" customWidth="1"/>
    <col min="10" max="10" width="50" customWidth="1"/>
    <col min="11" max="11" width="18.7109375" style="8" customWidth="1"/>
  </cols>
  <sheetData>
    <row r="1" spans="1:8" ht="15.75" thickBot="1" x14ac:dyDescent="0.3"/>
    <row r="2" spans="1:8" ht="30" customHeight="1" x14ac:dyDescent="0.25">
      <c r="A2" s="218" t="s">
        <v>0</v>
      </c>
      <c r="B2" s="218" t="s">
        <v>135</v>
      </c>
      <c r="C2" s="215" t="s">
        <v>25</v>
      </c>
      <c r="D2" s="216"/>
      <c r="E2" s="216"/>
      <c r="F2" s="216"/>
      <c r="G2" s="216"/>
      <c r="H2" s="217"/>
    </row>
    <row r="3" spans="1:8" ht="30" customHeight="1" thickBot="1" x14ac:dyDescent="0.3">
      <c r="A3" s="219"/>
      <c r="B3" s="219"/>
      <c r="C3" s="45" t="s">
        <v>1</v>
      </c>
      <c r="D3" s="46" t="s">
        <v>2</v>
      </c>
      <c r="E3" s="46" t="s">
        <v>74</v>
      </c>
      <c r="F3" s="46" t="s">
        <v>3</v>
      </c>
      <c r="G3" s="46" t="s">
        <v>26</v>
      </c>
      <c r="H3" s="47" t="s">
        <v>27</v>
      </c>
    </row>
    <row r="4" spans="1:8" ht="30" customHeight="1" x14ac:dyDescent="0.25">
      <c r="A4" s="2" t="s">
        <v>17</v>
      </c>
      <c r="B4" s="69"/>
      <c r="C4" s="48"/>
      <c r="D4" s="49"/>
      <c r="E4" s="49"/>
      <c r="F4" s="49"/>
      <c r="G4" s="49"/>
      <c r="H4" s="50"/>
    </row>
    <row r="5" spans="1:8" ht="30" customHeight="1" x14ac:dyDescent="0.25">
      <c r="A5" s="3" t="s">
        <v>5</v>
      </c>
      <c r="B5" s="70">
        <v>26600</v>
      </c>
      <c r="C5" s="51"/>
      <c r="D5" s="52"/>
      <c r="E5" s="52"/>
      <c r="F5" s="52"/>
      <c r="G5" s="52"/>
      <c r="H5" s="53">
        <v>26600</v>
      </c>
    </row>
    <row r="6" spans="1:8" ht="30" customHeight="1" x14ac:dyDescent="0.25">
      <c r="A6" s="3" t="s">
        <v>15</v>
      </c>
      <c r="B6" s="70">
        <v>123000</v>
      </c>
      <c r="C6" s="51"/>
      <c r="D6" s="52"/>
      <c r="E6" s="52"/>
      <c r="F6" s="52"/>
      <c r="G6" s="52"/>
      <c r="H6" s="53">
        <v>123000</v>
      </c>
    </row>
    <row r="7" spans="1:8" ht="30" customHeight="1" x14ac:dyDescent="0.25">
      <c r="A7" s="3" t="s">
        <v>16</v>
      </c>
      <c r="B7" s="71"/>
      <c r="C7" s="54"/>
      <c r="D7" s="55"/>
      <c r="E7" s="55"/>
      <c r="F7" s="56"/>
      <c r="G7" s="55"/>
      <c r="H7" s="57"/>
    </row>
    <row r="8" spans="1:8" ht="30" customHeight="1" x14ac:dyDescent="0.25">
      <c r="A8" s="3" t="s">
        <v>6</v>
      </c>
      <c r="B8" s="70">
        <f>C8+H8</f>
        <v>127490</v>
      </c>
      <c r="C8" s="142">
        <v>79775</v>
      </c>
      <c r="D8" s="140"/>
      <c r="E8" s="52"/>
      <c r="F8" s="52"/>
      <c r="G8" s="52"/>
      <c r="H8" s="141">
        <v>47715</v>
      </c>
    </row>
    <row r="9" spans="1:8" ht="30" customHeight="1" x14ac:dyDescent="0.25">
      <c r="A9" s="3" t="s">
        <v>20</v>
      </c>
      <c r="B9" s="70"/>
      <c r="C9" s="136"/>
      <c r="D9" s="138"/>
      <c r="E9" s="138"/>
      <c r="F9" s="138"/>
      <c r="G9" s="138"/>
      <c r="H9" s="139"/>
    </row>
    <row r="10" spans="1:8" ht="30" customHeight="1" x14ac:dyDescent="0.25">
      <c r="A10" s="3" t="s">
        <v>7</v>
      </c>
      <c r="B10" s="70"/>
      <c r="C10" s="51"/>
      <c r="D10" s="52"/>
      <c r="E10" s="52"/>
      <c r="F10" s="52"/>
      <c r="G10" s="52"/>
      <c r="H10" s="53"/>
    </row>
    <row r="11" spans="1:8" ht="30" customHeight="1" x14ac:dyDescent="0.25">
      <c r="A11" s="3" t="s">
        <v>23</v>
      </c>
      <c r="B11" s="70"/>
      <c r="C11" s="51"/>
      <c r="D11" s="52"/>
      <c r="E11" s="52"/>
      <c r="F11" s="52"/>
      <c r="G11" s="52"/>
      <c r="H11" s="53"/>
    </row>
    <row r="12" spans="1:8" ht="30" customHeight="1" x14ac:dyDescent="0.25">
      <c r="A12" s="3" t="s">
        <v>8</v>
      </c>
      <c r="B12" s="70"/>
      <c r="C12" s="51"/>
      <c r="D12" s="52"/>
      <c r="E12" s="52"/>
      <c r="F12" s="52"/>
      <c r="G12" s="52"/>
      <c r="H12" s="53"/>
    </row>
    <row r="13" spans="1:8" ht="30" customHeight="1" x14ac:dyDescent="0.25">
      <c r="A13" s="3" t="s">
        <v>11</v>
      </c>
      <c r="B13" s="70"/>
      <c r="C13" s="51"/>
      <c r="D13" s="52"/>
      <c r="E13" s="52"/>
      <c r="F13" s="52"/>
      <c r="G13" s="52"/>
      <c r="H13" s="53"/>
    </row>
    <row r="14" spans="1:8" ht="30" customHeight="1" x14ac:dyDescent="0.25">
      <c r="A14" s="3" t="s">
        <v>104</v>
      </c>
      <c r="B14" s="70"/>
      <c r="C14" s="51"/>
      <c r="D14" s="52"/>
      <c r="E14" s="52"/>
      <c r="F14" s="52"/>
      <c r="G14" s="52"/>
      <c r="H14" s="53"/>
    </row>
    <row r="15" spans="1:8" ht="30" customHeight="1" x14ac:dyDescent="0.25">
      <c r="A15" s="3" t="s">
        <v>18</v>
      </c>
      <c r="B15" s="70"/>
      <c r="C15" s="51"/>
      <c r="D15" s="52"/>
      <c r="E15" s="52"/>
      <c r="F15" s="52"/>
      <c r="G15" s="52"/>
      <c r="H15" s="53"/>
    </row>
    <row r="16" spans="1:8" ht="30" customHeight="1" x14ac:dyDescent="0.25">
      <c r="A16" s="3" t="s">
        <v>19</v>
      </c>
      <c r="B16" s="58"/>
      <c r="C16" s="51"/>
      <c r="D16" s="52"/>
      <c r="E16" s="52"/>
      <c r="F16" s="52"/>
      <c r="G16" s="52"/>
      <c r="H16" s="53"/>
    </row>
    <row r="17" spans="1:10" ht="30" customHeight="1" x14ac:dyDescent="0.25">
      <c r="A17" s="3" t="s">
        <v>22</v>
      </c>
      <c r="B17" s="70"/>
      <c r="C17" s="51"/>
      <c r="D17" s="52"/>
      <c r="E17" s="52"/>
      <c r="F17" s="52"/>
      <c r="G17" s="52"/>
      <c r="H17" s="53"/>
    </row>
    <row r="18" spans="1:10" ht="30" customHeight="1" x14ac:dyDescent="0.25">
      <c r="A18" s="3" t="s">
        <v>9</v>
      </c>
      <c r="B18" s="70"/>
      <c r="C18" s="51"/>
      <c r="D18" s="52"/>
      <c r="E18" s="52"/>
      <c r="F18" s="52"/>
      <c r="G18" s="52"/>
      <c r="H18" s="53"/>
    </row>
    <row r="19" spans="1:10" ht="30" customHeight="1" x14ac:dyDescent="0.25">
      <c r="A19" s="3" t="s">
        <v>12</v>
      </c>
      <c r="B19" s="70"/>
      <c r="C19" s="51"/>
      <c r="D19" s="52"/>
      <c r="E19" s="52"/>
      <c r="F19" s="52"/>
      <c r="G19" s="52"/>
      <c r="H19" s="53"/>
    </row>
    <row r="20" spans="1:10" ht="30" customHeight="1" x14ac:dyDescent="0.25">
      <c r="A20" s="3" t="s">
        <v>21</v>
      </c>
      <c r="B20" s="59"/>
      <c r="C20" s="54"/>
      <c r="D20" s="55"/>
      <c r="E20" s="55"/>
      <c r="F20" s="55"/>
      <c r="G20" s="55"/>
      <c r="H20" s="57"/>
    </row>
    <row r="21" spans="1:10" ht="30" customHeight="1" x14ac:dyDescent="0.25">
      <c r="A21" s="3" t="s">
        <v>10</v>
      </c>
      <c r="B21" s="70"/>
      <c r="C21" s="51"/>
      <c r="D21" s="52"/>
      <c r="E21" s="52"/>
      <c r="F21" s="52"/>
      <c r="G21" s="52"/>
      <c r="H21" s="53"/>
    </row>
    <row r="22" spans="1:10" ht="30" customHeight="1" x14ac:dyDescent="0.25">
      <c r="A22" s="3" t="s">
        <v>14</v>
      </c>
      <c r="B22" s="70"/>
      <c r="C22" s="51"/>
      <c r="D22" s="52"/>
      <c r="E22" s="52"/>
      <c r="F22" s="52"/>
      <c r="G22" s="52"/>
      <c r="H22" s="53"/>
    </row>
    <row r="23" spans="1:10" ht="30" customHeight="1" thickBot="1" x14ac:dyDescent="0.3">
      <c r="A23" s="10" t="s">
        <v>13</v>
      </c>
      <c r="B23" s="135"/>
      <c r="C23" s="60"/>
      <c r="D23" s="61"/>
      <c r="E23" s="61"/>
      <c r="F23" s="61"/>
      <c r="G23" s="61"/>
      <c r="H23" s="62"/>
    </row>
    <row r="24" spans="1:10" ht="30" customHeight="1" thickBot="1" x14ac:dyDescent="0.3">
      <c r="A24" s="11" t="s">
        <v>29</v>
      </c>
      <c r="B24" s="88">
        <f>SUM(B4:B23)</f>
        <v>277090</v>
      </c>
      <c r="C24" s="63">
        <f t="shared" ref="C24:H24" si="0">SUM(C4:C23)</f>
        <v>79775</v>
      </c>
      <c r="D24" s="64">
        <f t="shared" si="0"/>
        <v>0</v>
      </c>
      <c r="E24" s="65">
        <f t="shared" si="0"/>
        <v>0</v>
      </c>
      <c r="F24" s="65">
        <f t="shared" si="0"/>
        <v>0</v>
      </c>
      <c r="G24" s="65">
        <f t="shared" si="0"/>
        <v>0</v>
      </c>
      <c r="H24" s="66">
        <f t="shared" si="0"/>
        <v>197315</v>
      </c>
    </row>
    <row r="25" spans="1:10" ht="37.5" customHeight="1" x14ac:dyDescent="0.25"/>
    <row r="26" spans="1:10" x14ac:dyDescent="0.25">
      <c r="B26" s="67"/>
    </row>
    <row r="27" spans="1:10" x14ac:dyDescent="0.25">
      <c r="J27" s="4"/>
    </row>
    <row r="29" spans="1:10" x14ac:dyDescent="0.25">
      <c r="C29" s="68"/>
      <c r="D29" s="68"/>
    </row>
  </sheetData>
  <sheetProtection algorithmName="SHA-512" hashValue="JT7LoM9TMOHpofBRz70RdqF5jiH8kWrVdqeuCGqzMpkXHDY+c/tlB/y8W0PsS+7GgxMuyIe+vgZ4vW10JJeQag==" saltValue="j8QSZnGpFzBvNRpPjdb5PA==" spinCount="100000" sheet="1" objects="1" scenarios="1"/>
  <autoFilter ref="A1:H25"/>
  <mergeCells count="3">
    <mergeCell ref="A2:A3"/>
    <mergeCell ref="B2:B3"/>
    <mergeCell ref="C2:H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9" sqref="L9"/>
    </sheetView>
  </sheetViews>
  <sheetFormatPr defaultColWidth="8.85546875" defaultRowHeight="15" x14ac:dyDescent="0.25"/>
  <cols>
    <col min="1" max="1" width="19.28515625" style="38" customWidth="1"/>
    <col min="2" max="6" width="13.7109375" style="113" customWidth="1"/>
    <col min="7" max="9" width="13.85546875" style="113" customWidth="1"/>
    <col min="10" max="10" width="14.7109375" style="113" bestFit="1" customWidth="1"/>
    <col min="11" max="11" width="14.7109375" style="113" customWidth="1"/>
    <col min="12" max="12" width="70.42578125" style="113" customWidth="1"/>
    <col min="13" max="16384" width="8.85546875" style="38"/>
  </cols>
  <sheetData>
    <row r="1" spans="1:12" ht="30" customHeight="1" x14ac:dyDescent="0.25">
      <c r="A1" s="224" t="s">
        <v>0</v>
      </c>
      <c r="B1" s="226" t="s">
        <v>73</v>
      </c>
      <c r="C1" s="228" t="s">
        <v>25</v>
      </c>
      <c r="D1" s="229"/>
      <c r="E1" s="229"/>
      <c r="F1" s="229"/>
      <c r="G1" s="229"/>
      <c r="H1" s="229"/>
      <c r="I1" s="229"/>
      <c r="J1" s="229"/>
      <c r="K1" s="230"/>
      <c r="L1" s="163"/>
    </row>
    <row r="2" spans="1:12" ht="30" customHeight="1" thickBot="1" x14ac:dyDescent="0.3">
      <c r="A2" s="225"/>
      <c r="B2" s="227"/>
      <c r="C2" s="198" t="s">
        <v>1</v>
      </c>
      <c r="D2" s="199" t="s">
        <v>2</v>
      </c>
      <c r="E2" s="9" t="s">
        <v>74</v>
      </c>
      <c r="F2" s="9" t="s">
        <v>154</v>
      </c>
      <c r="G2" s="9" t="s">
        <v>4</v>
      </c>
      <c r="H2" s="9" t="s">
        <v>106</v>
      </c>
      <c r="I2" s="9" t="s">
        <v>105</v>
      </c>
      <c r="J2" s="9" t="s">
        <v>26</v>
      </c>
      <c r="K2" s="90" t="s">
        <v>27</v>
      </c>
      <c r="L2" s="91" t="s">
        <v>78</v>
      </c>
    </row>
    <row r="3" spans="1:12" ht="30" customHeight="1" x14ac:dyDescent="0.25">
      <c r="A3" s="121" t="s">
        <v>121</v>
      </c>
      <c r="B3" s="129">
        <v>20000</v>
      </c>
      <c r="C3" s="200"/>
      <c r="D3" s="201"/>
      <c r="E3" s="115"/>
      <c r="F3" s="115"/>
      <c r="G3" s="115"/>
      <c r="H3" s="115"/>
      <c r="I3" s="115"/>
      <c r="J3" s="115"/>
      <c r="K3" s="116">
        <v>20000</v>
      </c>
      <c r="L3" s="117"/>
    </row>
    <row r="4" spans="1:12" ht="30" customHeight="1" thickBot="1" x14ac:dyDescent="0.3">
      <c r="A4" s="122" t="s">
        <v>122</v>
      </c>
      <c r="B4" s="130">
        <v>20000</v>
      </c>
      <c r="C4" s="202"/>
      <c r="D4" s="203"/>
      <c r="E4" s="118"/>
      <c r="F4" s="118"/>
      <c r="G4" s="118"/>
      <c r="H4" s="118"/>
      <c r="I4" s="118"/>
      <c r="J4" s="118"/>
      <c r="K4" s="119">
        <v>20000</v>
      </c>
      <c r="L4" s="120"/>
    </row>
    <row r="5" spans="1:12" ht="30" customHeight="1" x14ac:dyDescent="0.25">
      <c r="A5" s="121" t="s">
        <v>107</v>
      </c>
      <c r="B5" s="98">
        <v>45460</v>
      </c>
      <c r="C5" s="204"/>
      <c r="D5" s="205"/>
      <c r="E5" s="92"/>
      <c r="F5" s="92"/>
      <c r="G5" s="92"/>
      <c r="H5" s="92"/>
      <c r="I5" s="92">
        <f>90921.55/2</f>
        <v>45460.775000000001</v>
      </c>
      <c r="J5" s="92"/>
      <c r="K5" s="93"/>
      <c r="L5" s="94"/>
    </row>
    <row r="6" spans="1:12" ht="30" customHeight="1" x14ac:dyDescent="0.25">
      <c r="A6" s="121" t="s">
        <v>17</v>
      </c>
      <c r="B6" s="98"/>
      <c r="C6" s="206"/>
      <c r="D6" s="95"/>
      <c r="E6" s="95"/>
      <c r="F6" s="95"/>
      <c r="G6" s="95"/>
      <c r="H6" s="95"/>
      <c r="I6" s="95"/>
      <c r="J6" s="95"/>
      <c r="K6" s="96"/>
      <c r="L6" s="97"/>
    </row>
    <row r="7" spans="1:12" ht="30" customHeight="1" x14ac:dyDescent="0.25">
      <c r="A7" s="121" t="s">
        <v>5</v>
      </c>
      <c r="B7" s="98"/>
      <c r="C7" s="206"/>
      <c r="D7" s="95"/>
      <c r="E7" s="95"/>
      <c r="F7" s="95"/>
      <c r="G7" s="95"/>
      <c r="H7" s="95"/>
      <c r="I7" s="95"/>
      <c r="J7" s="95"/>
      <c r="K7" s="96"/>
      <c r="L7" s="99"/>
    </row>
    <row r="8" spans="1:12" ht="30" customHeight="1" x14ac:dyDescent="0.25">
      <c r="A8" s="121" t="s">
        <v>15</v>
      </c>
      <c r="B8" s="98"/>
      <c r="C8" s="206"/>
      <c r="D8" s="95"/>
      <c r="E8" s="95"/>
      <c r="F8" s="95"/>
      <c r="G8" s="95"/>
      <c r="H8" s="95"/>
      <c r="I8" s="95"/>
      <c r="J8" s="100"/>
      <c r="K8" s="101"/>
      <c r="L8" s="102"/>
    </row>
    <row r="9" spans="1:12" ht="30" customHeight="1" x14ac:dyDescent="0.25">
      <c r="A9" s="121" t="s">
        <v>16</v>
      </c>
      <c r="B9" s="98"/>
      <c r="C9" s="206"/>
      <c r="D9" s="95"/>
      <c r="E9" s="95"/>
      <c r="F9" s="95"/>
      <c r="G9" s="95"/>
      <c r="H9" s="95"/>
      <c r="I9" s="95"/>
      <c r="J9" s="95"/>
      <c r="K9" s="96"/>
      <c r="L9" s="99"/>
    </row>
    <row r="10" spans="1:12" ht="30" customHeight="1" x14ac:dyDescent="0.25">
      <c r="A10" s="121" t="s">
        <v>6</v>
      </c>
      <c r="B10" s="98"/>
      <c r="C10" s="206"/>
      <c r="D10" s="95"/>
      <c r="E10" s="95"/>
      <c r="F10" s="95"/>
      <c r="G10" s="95"/>
      <c r="H10" s="95"/>
      <c r="I10" s="95"/>
      <c r="J10" s="95"/>
      <c r="K10" s="96"/>
      <c r="L10" s="99"/>
    </row>
    <row r="11" spans="1:12" ht="30" customHeight="1" x14ac:dyDescent="0.25">
      <c r="A11" s="121" t="s">
        <v>20</v>
      </c>
      <c r="B11" s="98">
        <v>11742</v>
      </c>
      <c r="C11" s="206"/>
      <c r="D11" s="95"/>
      <c r="E11" s="104"/>
      <c r="F11" s="104"/>
      <c r="G11" s="95"/>
      <c r="H11" s="103">
        <v>11742</v>
      </c>
      <c r="I11" s="95"/>
      <c r="J11" s="100"/>
      <c r="K11" s="101"/>
      <c r="L11" s="105"/>
    </row>
    <row r="12" spans="1:12" ht="30" customHeight="1" x14ac:dyDescent="0.25">
      <c r="A12" s="121" t="s">
        <v>7</v>
      </c>
      <c r="B12" s="98">
        <v>8000</v>
      </c>
      <c r="C12" s="206"/>
      <c r="D12" s="95"/>
      <c r="E12" s="104"/>
      <c r="F12" s="104"/>
      <c r="G12" s="104"/>
      <c r="H12" s="104"/>
      <c r="I12" s="104"/>
      <c r="J12" s="104">
        <v>8000</v>
      </c>
      <c r="K12" s="106"/>
      <c r="L12" s="107" t="s">
        <v>120</v>
      </c>
    </row>
    <row r="13" spans="1:12" ht="30" customHeight="1" x14ac:dyDescent="0.25">
      <c r="A13" s="121" t="s">
        <v>23</v>
      </c>
      <c r="B13" s="98"/>
      <c r="C13" s="206"/>
      <c r="D13" s="95"/>
      <c r="E13" s="95"/>
      <c r="F13" s="95"/>
      <c r="G13" s="95"/>
      <c r="H13" s="95"/>
      <c r="I13" s="95"/>
      <c r="J13" s="95"/>
      <c r="K13" s="96"/>
      <c r="L13" s="99"/>
    </row>
    <row r="14" spans="1:12" ht="30" customHeight="1" x14ac:dyDescent="0.25">
      <c r="A14" s="121" t="s">
        <v>8</v>
      </c>
      <c r="B14" s="98">
        <v>92000</v>
      </c>
      <c r="C14" s="206"/>
      <c r="D14" s="95"/>
      <c r="E14" s="104"/>
      <c r="F14" s="104"/>
      <c r="G14" s="104">
        <v>92000</v>
      </c>
      <c r="H14" s="104"/>
      <c r="I14" s="104"/>
      <c r="J14" s="104"/>
      <c r="K14" s="106"/>
      <c r="L14" s="114"/>
    </row>
    <row r="15" spans="1:12" ht="30" customHeight="1" x14ac:dyDescent="0.25">
      <c r="A15" s="121" t="s">
        <v>11</v>
      </c>
      <c r="B15" s="98"/>
      <c r="C15" s="206"/>
      <c r="D15" s="95"/>
      <c r="E15" s="104"/>
      <c r="F15" s="104"/>
      <c r="G15" s="100"/>
      <c r="H15" s="104"/>
      <c r="I15" s="104"/>
      <c r="J15" s="104"/>
      <c r="K15" s="106"/>
      <c r="L15" s="114"/>
    </row>
    <row r="16" spans="1:12" ht="30" customHeight="1" x14ac:dyDescent="0.25">
      <c r="A16" s="121" t="s">
        <v>18</v>
      </c>
      <c r="B16" s="98"/>
      <c r="C16" s="206"/>
      <c r="D16" s="95"/>
      <c r="E16" s="95"/>
      <c r="F16" s="95"/>
      <c r="G16" s="95"/>
      <c r="H16" s="95"/>
      <c r="I16" s="95"/>
      <c r="J16" s="95"/>
      <c r="K16" s="96"/>
      <c r="L16" s="99"/>
    </row>
    <row r="17" spans="1:12" ht="30" customHeight="1" x14ac:dyDescent="0.25">
      <c r="A17" s="121" t="s">
        <v>19</v>
      </c>
      <c r="B17" s="98"/>
      <c r="C17" s="206"/>
      <c r="D17" s="95"/>
      <c r="E17" s="95"/>
      <c r="F17" s="95"/>
      <c r="G17" s="95"/>
      <c r="H17" s="95"/>
      <c r="I17" s="95"/>
      <c r="J17" s="95"/>
      <c r="K17" s="96"/>
      <c r="L17" s="99"/>
    </row>
    <row r="18" spans="1:12" ht="30" customHeight="1" x14ac:dyDescent="0.25">
      <c r="A18" s="121" t="s">
        <v>22</v>
      </c>
      <c r="B18" s="98"/>
      <c r="C18" s="206"/>
      <c r="D18" s="95"/>
      <c r="E18" s="95"/>
      <c r="F18" s="95"/>
      <c r="G18" s="95"/>
      <c r="H18" s="95"/>
      <c r="I18" s="95"/>
      <c r="J18" s="95"/>
      <c r="K18" s="96"/>
      <c r="L18" s="99"/>
    </row>
    <row r="19" spans="1:12" ht="30" customHeight="1" x14ac:dyDescent="0.25">
      <c r="A19" s="121" t="s">
        <v>9</v>
      </c>
      <c r="B19" s="98"/>
      <c r="C19" s="206"/>
      <c r="D19" s="95"/>
      <c r="E19" s="95"/>
      <c r="F19" s="95"/>
      <c r="G19" s="95"/>
      <c r="H19" s="95"/>
      <c r="I19" s="95"/>
      <c r="J19" s="95"/>
      <c r="K19" s="96"/>
      <c r="L19" s="99"/>
    </row>
    <row r="20" spans="1:12" ht="30" customHeight="1" x14ac:dyDescent="0.25">
      <c r="A20" s="121" t="s">
        <v>12</v>
      </c>
      <c r="B20" s="98">
        <f>85825+3000</f>
        <v>88825</v>
      </c>
      <c r="C20" s="206"/>
      <c r="D20" s="95"/>
      <c r="E20" s="104">
        <v>14462</v>
      </c>
      <c r="F20" s="104"/>
      <c r="G20" s="108">
        <v>3000</v>
      </c>
      <c r="H20" s="108">
        <v>67363</v>
      </c>
      <c r="I20" s="108"/>
      <c r="J20" s="104"/>
      <c r="K20" s="106">
        <v>4000</v>
      </c>
      <c r="L20" s="107"/>
    </row>
    <row r="21" spans="1:12" ht="30" customHeight="1" x14ac:dyDescent="0.25">
      <c r="A21" s="121" t="s">
        <v>21</v>
      </c>
      <c r="B21" s="98"/>
      <c r="C21" s="206"/>
      <c r="D21" s="95"/>
      <c r="E21" s="95"/>
      <c r="F21" s="95"/>
      <c r="G21" s="95"/>
      <c r="H21" s="95"/>
      <c r="I21" s="95"/>
      <c r="J21" s="95"/>
      <c r="K21" s="96"/>
      <c r="L21" s="99"/>
    </row>
    <row r="22" spans="1:12" ht="30" customHeight="1" x14ac:dyDescent="0.25">
      <c r="A22" s="121" t="s">
        <v>10</v>
      </c>
      <c r="B22" s="98"/>
      <c r="C22" s="206"/>
      <c r="D22" s="95"/>
      <c r="E22" s="95"/>
      <c r="F22" s="95"/>
      <c r="G22" s="95"/>
      <c r="H22" s="95"/>
      <c r="I22" s="95"/>
      <c r="J22" s="95"/>
      <c r="K22" s="96"/>
      <c r="L22" s="99"/>
    </row>
    <row r="23" spans="1:12" ht="30" customHeight="1" x14ac:dyDescent="0.25">
      <c r="A23" s="121" t="s">
        <v>14</v>
      </c>
      <c r="B23" s="98"/>
      <c r="C23" s="206"/>
      <c r="D23" s="95"/>
      <c r="E23" s="95"/>
      <c r="F23" s="95"/>
      <c r="G23" s="95"/>
      <c r="H23" s="95"/>
      <c r="I23" s="95"/>
      <c r="J23" s="95"/>
      <c r="K23" s="96"/>
      <c r="L23" s="99"/>
    </row>
    <row r="24" spans="1:12" ht="30" customHeight="1" thickBot="1" x14ac:dyDescent="0.3">
      <c r="A24" s="123" t="s">
        <v>13</v>
      </c>
      <c r="B24" s="109"/>
      <c r="C24" s="207"/>
      <c r="D24" s="111"/>
      <c r="E24" s="111"/>
      <c r="F24" s="111"/>
      <c r="G24" s="111"/>
      <c r="H24" s="111"/>
      <c r="I24" s="111"/>
      <c r="J24" s="111"/>
      <c r="K24" s="112"/>
      <c r="L24" s="110"/>
    </row>
    <row r="25" spans="1:12" ht="30" customHeight="1" thickBot="1" x14ac:dyDescent="0.3">
      <c r="A25" s="127" t="s">
        <v>29</v>
      </c>
      <c r="B25" s="128">
        <f>SUM(B3:B24)</f>
        <v>286027</v>
      </c>
      <c r="C25" s="208"/>
      <c r="D25" s="124"/>
      <c r="E25" s="124">
        <f>SUM(E3:E24)</f>
        <v>14462</v>
      </c>
      <c r="F25" s="126"/>
      <c r="G25" s="126">
        <f>SUM(G3:G24)</f>
        <v>95000</v>
      </c>
      <c r="H25" s="124">
        <f>SUM(H3:H24)</f>
        <v>79105</v>
      </c>
      <c r="I25" s="124">
        <f>SUM(I3:I24)</f>
        <v>45460.775000000001</v>
      </c>
      <c r="J25" s="124">
        <f>SUM(J3:J24)</f>
        <v>8000</v>
      </c>
      <c r="K25" s="124">
        <f>SUM(K3:K24)</f>
        <v>44000</v>
      </c>
      <c r="L25" s="125"/>
    </row>
  </sheetData>
  <sheetProtection algorithmName="SHA-512" hashValue="Q8d5guAtqItyGizLHSmLSQLlsmhX+R9fyW1QGhOV9XQNayzQeDPpy/1T/JfcukVxMitMzL4eboZ+TBQ4pWnVLQ==" saltValue="rqoZ5Fp8kH8/1GBxnvEQpg==" spinCount="100000" sheet="1" objects="1" scenarios="1"/>
  <mergeCells count="3">
    <mergeCell ref="A1:A2"/>
    <mergeCell ref="B1:B2"/>
    <mergeCell ref="C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B5" sqref="B5"/>
    </sheetView>
  </sheetViews>
  <sheetFormatPr defaultRowHeight="15" x14ac:dyDescent="0.25"/>
  <cols>
    <col min="1" max="1" width="36.28515625" bestFit="1" customWidth="1"/>
    <col min="2" max="2" width="14.7109375" style="8" customWidth="1"/>
    <col min="3" max="3" width="9.85546875" customWidth="1"/>
    <col min="8" max="9" width="9.140625" style="137"/>
    <col min="10" max="10" width="14" customWidth="1"/>
    <col min="11" max="11" width="15.28515625" customWidth="1"/>
    <col min="12" max="12" width="53.28515625" style="37" customWidth="1"/>
  </cols>
  <sheetData>
    <row r="1" spans="1:12" ht="15.75" thickBot="1" x14ac:dyDescent="0.3">
      <c r="A1" s="234"/>
      <c r="B1" s="236" t="s">
        <v>99</v>
      </c>
      <c r="C1" s="231" t="s">
        <v>25</v>
      </c>
      <c r="D1" s="232"/>
      <c r="E1" s="232"/>
      <c r="F1" s="232"/>
      <c r="G1" s="232"/>
      <c r="H1" s="232"/>
      <c r="I1" s="232"/>
      <c r="J1" s="232"/>
      <c r="K1" s="233"/>
      <c r="L1" s="164"/>
    </row>
    <row r="2" spans="1:12" ht="30.75" thickBot="1" x14ac:dyDescent="0.3">
      <c r="A2" s="235"/>
      <c r="B2" s="237"/>
      <c r="C2" s="165" t="s">
        <v>1</v>
      </c>
      <c r="D2" s="166" t="s">
        <v>2</v>
      </c>
      <c r="E2" s="166" t="s">
        <v>74</v>
      </c>
      <c r="F2" s="166" t="s">
        <v>3</v>
      </c>
      <c r="G2" s="166" t="s">
        <v>4</v>
      </c>
      <c r="H2" s="152" t="s">
        <v>106</v>
      </c>
      <c r="I2" s="152" t="s">
        <v>105</v>
      </c>
      <c r="J2" s="166" t="s">
        <v>26</v>
      </c>
      <c r="K2" s="167" t="s">
        <v>27</v>
      </c>
      <c r="L2" s="168" t="s">
        <v>78</v>
      </c>
    </row>
    <row r="3" spans="1:12" ht="40.5" customHeight="1" x14ac:dyDescent="0.25">
      <c r="A3" s="169" t="s">
        <v>69</v>
      </c>
      <c r="B3" s="170">
        <f>Personnel!C52</f>
        <v>1570579.2815483871</v>
      </c>
      <c r="C3" s="171">
        <f>Personnel!D52</f>
        <v>762381.72998772399</v>
      </c>
      <c r="D3" s="172">
        <f>Personnel!E52</f>
        <v>24536</v>
      </c>
      <c r="E3" s="172">
        <f>Personnel!F52</f>
        <v>82469.717425155395</v>
      </c>
      <c r="F3" s="172">
        <f>Personnel!G52</f>
        <v>57812.256727925742</v>
      </c>
      <c r="G3" s="172">
        <f>Personnel!H52</f>
        <v>0</v>
      </c>
      <c r="H3" s="172"/>
      <c r="I3" s="172"/>
      <c r="J3" s="172">
        <f>Personnel!K52</f>
        <v>643378.02740758192</v>
      </c>
      <c r="K3" s="173"/>
      <c r="L3" s="174"/>
    </row>
    <row r="4" spans="1:12" ht="64.5" customHeight="1" x14ac:dyDescent="0.25">
      <c r="A4" s="175" t="s">
        <v>129</v>
      </c>
      <c r="B4" s="176">
        <f>(26*3000*3)+(9*3*3000)+(5000*6)</f>
        <v>345000</v>
      </c>
      <c r="C4" s="177">
        <v>182532</v>
      </c>
      <c r="D4" s="178">
        <v>10000</v>
      </c>
      <c r="E4" s="178"/>
      <c r="F4" s="178"/>
      <c r="G4" s="178"/>
      <c r="H4" s="178"/>
      <c r="I4" s="178"/>
      <c r="J4" s="178"/>
      <c r="K4" s="179">
        <f>B4-C4-D4</f>
        <v>152468</v>
      </c>
      <c r="L4" s="180" t="s">
        <v>161</v>
      </c>
    </row>
    <row r="5" spans="1:12" ht="64.5" customHeight="1" x14ac:dyDescent="0.25">
      <c r="A5" s="175" t="s">
        <v>128</v>
      </c>
      <c r="B5" s="176">
        <f>5000*26</f>
        <v>130000</v>
      </c>
      <c r="C5" s="177"/>
      <c r="D5" s="178"/>
      <c r="E5" s="178"/>
      <c r="F5" s="178"/>
      <c r="G5" s="178"/>
      <c r="H5" s="178"/>
      <c r="I5" s="178"/>
      <c r="J5" s="178"/>
      <c r="K5" s="179">
        <v>130000</v>
      </c>
      <c r="L5" s="180"/>
    </row>
    <row r="6" spans="1:12" ht="76.5" customHeight="1" x14ac:dyDescent="0.25">
      <c r="A6" s="175" t="s">
        <v>70</v>
      </c>
      <c r="B6" s="176">
        <v>7000</v>
      </c>
      <c r="C6" s="177"/>
      <c r="D6" s="178"/>
      <c r="E6" s="178"/>
      <c r="F6" s="178"/>
      <c r="G6" s="178"/>
      <c r="H6" s="178"/>
      <c r="I6" s="178"/>
      <c r="J6" s="178"/>
      <c r="K6" s="179">
        <v>7000</v>
      </c>
      <c r="L6" s="180" t="s">
        <v>125</v>
      </c>
    </row>
    <row r="7" spans="1:12" ht="52.5" customHeight="1" x14ac:dyDescent="0.25">
      <c r="A7" s="175" t="s">
        <v>123</v>
      </c>
      <c r="B7" s="176">
        <v>30000</v>
      </c>
      <c r="C7" s="177"/>
      <c r="D7" s="178"/>
      <c r="E7" s="178"/>
      <c r="F7" s="178"/>
      <c r="G7" s="178"/>
      <c r="H7" s="178"/>
      <c r="I7" s="178"/>
      <c r="J7" s="178"/>
      <c r="K7" s="179">
        <v>30000</v>
      </c>
      <c r="L7" s="180" t="s">
        <v>124</v>
      </c>
    </row>
    <row r="8" spans="1:12" ht="40.5" customHeight="1" x14ac:dyDescent="0.25">
      <c r="A8" s="175" t="s">
        <v>71</v>
      </c>
      <c r="B8" s="176">
        <v>30000</v>
      </c>
      <c r="C8" s="177"/>
      <c r="D8" s="178"/>
      <c r="E8" s="178"/>
      <c r="F8" s="181"/>
      <c r="G8" s="178"/>
      <c r="H8" s="178"/>
      <c r="I8" s="178"/>
      <c r="J8" s="178"/>
      <c r="K8" s="179">
        <v>30000</v>
      </c>
      <c r="L8" s="180"/>
    </row>
    <row r="9" spans="1:12" ht="40.5" customHeight="1" x14ac:dyDescent="0.25">
      <c r="A9" s="175" t="s">
        <v>148</v>
      </c>
      <c r="B9" s="176">
        <f>26*1500</f>
        <v>39000</v>
      </c>
      <c r="C9" s="177">
        <v>15000</v>
      </c>
      <c r="D9" s="178"/>
      <c r="E9" s="178"/>
      <c r="F9" s="178"/>
      <c r="G9" s="178"/>
      <c r="H9" s="178"/>
      <c r="I9" s="178"/>
      <c r="J9" s="178"/>
      <c r="K9" s="179">
        <f>B9-C9</f>
        <v>24000</v>
      </c>
      <c r="L9" s="180" t="s">
        <v>113</v>
      </c>
    </row>
    <row r="10" spans="1:12" ht="40.5" customHeight="1" x14ac:dyDescent="0.25">
      <c r="A10" s="175" t="s">
        <v>72</v>
      </c>
      <c r="B10" s="176">
        <f>4*3000+2500*2</f>
        <v>17000</v>
      </c>
      <c r="C10" s="177"/>
      <c r="D10" s="178"/>
      <c r="E10" s="178"/>
      <c r="F10" s="178"/>
      <c r="G10" s="178"/>
      <c r="H10" s="178"/>
      <c r="I10" s="178"/>
      <c r="J10" s="178"/>
      <c r="K10" s="182">
        <f>B10</f>
        <v>17000</v>
      </c>
      <c r="L10" s="180" t="s">
        <v>114</v>
      </c>
    </row>
    <row r="11" spans="1:12" ht="40.5" customHeight="1" x14ac:dyDescent="0.25">
      <c r="A11" s="175" t="s">
        <v>126</v>
      </c>
      <c r="B11" s="176">
        <f>1500*12</f>
        <v>18000</v>
      </c>
      <c r="C11" s="177">
        <v>5383</v>
      </c>
      <c r="D11" s="178"/>
      <c r="E11" s="178"/>
      <c r="F11" s="178"/>
      <c r="G11" s="178"/>
      <c r="H11" s="178"/>
      <c r="I11" s="178"/>
      <c r="J11" s="178"/>
      <c r="K11" s="179">
        <f>B11-C11</f>
        <v>12617</v>
      </c>
      <c r="L11" s="180" t="s">
        <v>127</v>
      </c>
    </row>
    <row r="12" spans="1:12" ht="46.5" customHeight="1" x14ac:dyDescent="0.25">
      <c r="A12" s="175" t="s">
        <v>162</v>
      </c>
      <c r="B12" s="176">
        <v>44000</v>
      </c>
      <c r="C12" s="183"/>
      <c r="D12" s="184"/>
      <c r="E12" s="184"/>
      <c r="F12" s="184"/>
      <c r="G12" s="184"/>
      <c r="H12" s="184"/>
      <c r="I12" s="184"/>
      <c r="J12" s="184"/>
      <c r="K12" s="179">
        <f>B12</f>
        <v>44000</v>
      </c>
      <c r="L12" s="180"/>
    </row>
    <row r="13" spans="1:12" ht="33.75" customHeight="1" x14ac:dyDescent="0.25">
      <c r="A13" s="175" t="s">
        <v>130</v>
      </c>
      <c r="B13" s="176">
        <v>50000</v>
      </c>
      <c r="C13" s="185"/>
      <c r="D13" s="186"/>
      <c r="E13" s="186"/>
      <c r="F13" s="186"/>
      <c r="G13" s="186"/>
      <c r="H13" s="186"/>
      <c r="I13" s="186"/>
      <c r="J13" s="186"/>
      <c r="K13" s="179">
        <f>B13</f>
        <v>50000</v>
      </c>
      <c r="L13" s="180"/>
    </row>
    <row r="14" spans="1:12" s="137" customFormat="1" ht="33.75" customHeight="1" x14ac:dyDescent="0.25">
      <c r="A14" s="175" t="s">
        <v>149</v>
      </c>
      <c r="B14" s="176">
        <v>6000</v>
      </c>
      <c r="C14" s="183">
        <v>5000</v>
      </c>
      <c r="D14" s="186"/>
      <c r="E14" s="186"/>
      <c r="F14" s="186"/>
      <c r="G14" s="186"/>
      <c r="H14" s="186"/>
      <c r="I14" s="186"/>
      <c r="J14" s="186"/>
      <c r="K14" s="179">
        <v>1000</v>
      </c>
      <c r="L14" s="180"/>
    </row>
    <row r="15" spans="1:12" s="5" customFormat="1" ht="15.75" thickBot="1" x14ac:dyDescent="0.3">
      <c r="A15" s="187" t="s">
        <v>139</v>
      </c>
      <c r="B15" s="188">
        <f>SUM(B3:B14)</f>
        <v>2286579.2815483874</v>
      </c>
      <c r="C15" s="189">
        <f>SUM(C3:C14)</f>
        <v>970296.72998772399</v>
      </c>
      <c r="D15" s="190">
        <f t="shared" ref="D15:F15" si="0">SUM(D3:D14)</f>
        <v>34536</v>
      </c>
      <c r="E15" s="190">
        <f t="shared" si="0"/>
        <v>82469.717425155395</v>
      </c>
      <c r="F15" s="190">
        <f t="shared" si="0"/>
        <v>57812.256727925742</v>
      </c>
      <c r="G15" s="190">
        <f>SUM(G3:G14)</f>
        <v>0</v>
      </c>
      <c r="H15" s="190">
        <f t="shared" ref="H15:K15" si="1">SUM(H3:H14)</f>
        <v>0</v>
      </c>
      <c r="I15" s="190">
        <f t="shared" si="1"/>
        <v>0</v>
      </c>
      <c r="J15" s="190">
        <f t="shared" si="1"/>
        <v>643378.02740758192</v>
      </c>
      <c r="K15" s="190">
        <f t="shared" si="1"/>
        <v>498085</v>
      </c>
      <c r="L15" s="191"/>
    </row>
    <row r="16" spans="1:12" x14ac:dyDescent="0.25">
      <c r="C16" s="6"/>
      <c r="D16" s="6"/>
      <c r="E16" s="6"/>
      <c r="F16" s="6"/>
      <c r="G16" s="6"/>
      <c r="H16" s="6"/>
      <c r="I16" s="6"/>
      <c r="J16" s="6"/>
      <c r="K16" s="6"/>
    </row>
    <row r="17" spans="3:11" x14ac:dyDescent="0.25">
      <c r="C17" s="6"/>
      <c r="D17" s="6"/>
      <c r="E17" s="6"/>
      <c r="F17" s="6"/>
      <c r="G17" s="6"/>
      <c r="H17" s="6"/>
      <c r="I17" s="6"/>
      <c r="J17" s="6"/>
      <c r="K17" s="6"/>
    </row>
    <row r="18" spans="3:11" x14ac:dyDescent="0.25">
      <c r="C18" s="6"/>
      <c r="D18" s="6"/>
      <c r="E18" s="6"/>
      <c r="F18" s="6"/>
      <c r="G18" s="6"/>
      <c r="H18" s="6"/>
      <c r="I18" s="6"/>
      <c r="J18" s="6"/>
      <c r="K18" s="6"/>
    </row>
    <row r="19" spans="3:11" x14ac:dyDescent="0.25">
      <c r="C19" s="6"/>
      <c r="D19" s="6"/>
      <c r="E19" s="6"/>
      <c r="F19" s="6"/>
      <c r="G19" s="6"/>
      <c r="H19" s="6"/>
      <c r="I19" s="6"/>
      <c r="J19" s="6"/>
      <c r="K19" s="6"/>
    </row>
    <row r="20" spans="3:11" x14ac:dyDescent="0.25">
      <c r="C20" s="6"/>
      <c r="D20" s="6"/>
      <c r="E20" s="6"/>
      <c r="F20" s="6"/>
      <c r="G20" s="6"/>
      <c r="H20" s="6"/>
      <c r="I20" s="6"/>
      <c r="J20" s="6"/>
      <c r="K20" s="6"/>
    </row>
    <row r="21" spans="3:11" x14ac:dyDescent="0.25">
      <c r="C21" s="6"/>
      <c r="D21" s="6"/>
      <c r="E21" s="6"/>
      <c r="F21" s="6"/>
      <c r="G21" s="6"/>
      <c r="H21" s="6"/>
      <c r="I21" s="6"/>
      <c r="J21" s="6"/>
      <c r="K21" s="6"/>
    </row>
    <row r="22" spans="3:11" x14ac:dyDescent="0.25">
      <c r="C22" s="6"/>
      <c r="D22" s="6"/>
      <c r="E22" s="6"/>
      <c r="F22" s="6"/>
      <c r="G22" s="6"/>
      <c r="H22" s="6"/>
      <c r="I22" s="6"/>
      <c r="J22" s="6"/>
      <c r="K22" s="6"/>
    </row>
    <row r="23" spans="3:11" x14ac:dyDescent="0.25">
      <c r="C23" s="6"/>
      <c r="D23" s="6"/>
      <c r="E23" s="6"/>
      <c r="F23" s="6"/>
      <c r="G23" s="6"/>
      <c r="H23" s="6"/>
      <c r="I23" s="6"/>
      <c r="J23" s="6"/>
      <c r="K23" s="6"/>
    </row>
    <row r="24" spans="3:11" x14ac:dyDescent="0.25">
      <c r="C24" s="7"/>
      <c r="D24" s="7"/>
      <c r="E24" s="7"/>
      <c r="F24" s="7"/>
      <c r="G24" s="7"/>
      <c r="H24" s="7"/>
      <c r="I24" s="7"/>
      <c r="J24" s="7"/>
      <c r="K24" s="7"/>
    </row>
    <row r="25" spans="3:11" x14ac:dyDescent="0.25">
      <c r="C25" s="6"/>
      <c r="D25" s="6"/>
      <c r="E25" s="6"/>
      <c r="F25" s="6"/>
      <c r="G25" s="6"/>
      <c r="H25" s="6"/>
      <c r="I25" s="6"/>
      <c r="J25" s="6"/>
      <c r="K25" s="6"/>
    </row>
    <row r="26" spans="3:11" x14ac:dyDescent="0.25">
      <c r="C26" s="6"/>
      <c r="D26" s="6"/>
      <c r="E26" s="6"/>
      <c r="F26" s="6"/>
      <c r="G26" s="6"/>
      <c r="H26" s="6"/>
      <c r="I26" s="6"/>
      <c r="J26" s="6"/>
      <c r="K26" s="6"/>
    </row>
    <row r="27" spans="3:11" x14ac:dyDescent="0.25">
      <c r="C27" s="6"/>
      <c r="D27" s="6"/>
      <c r="E27" s="6"/>
      <c r="F27" s="6"/>
      <c r="G27" s="6"/>
      <c r="H27" s="6"/>
      <c r="I27" s="6"/>
      <c r="J27" s="6"/>
      <c r="K27" s="6"/>
    </row>
    <row r="28" spans="3:11" x14ac:dyDescent="0.25">
      <c r="C28" s="6"/>
      <c r="D28" s="6"/>
      <c r="E28" s="6"/>
      <c r="F28" s="6"/>
      <c r="G28" s="6"/>
      <c r="H28" s="6"/>
      <c r="I28" s="6"/>
      <c r="J28" s="6"/>
      <c r="K28" s="6"/>
    </row>
    <row r="29" spans="3:11" x14ac:dyDescent="0.25">
      <c r="C29" s="6"/>
      <c r="D29" s="6"/>
      <c r="E29" s="6"/>
      <c r="F29" s="6"/>
      <c r="G29" s="6"/>
      <c r="H29" s="6"/>
      <c r="I29" s="6"/>
      <c r="J29" s="6"/>
      <c r="K29" s="6"/>
    </row>
    <row r="30" spans="3:11" x14ac:dyDescent="0.25">
      <c r="C30" s="6"/>
      <c r="D30" s="6"/>
      <c r="E30" s="6"/>
      <c r="F30" s="6"/>
      <c r="G30" s="6"/>
      <c r="H30" s="6"/>
      <c r="I30" s="6"/>
      <c r="J30" s="6"/>
      <c r="K30" s="6"/>
    </row>
    <row r="31" spans="3:11" x14ac:dyDescent="0.25">
      <c r="C31" s="6"/>
      <c r="D31" s="6"/>
      <c r="E31" s="6"/>
      <c r="F31" s="6"/>
      <c r="G31" s="6"/>
      <c r="H31" s="6"/>
      <c r="I31" s="6"/>
      <c r="J31" s="6"/>
      <c r="K31" s="6"/>
    </row>
    <row r="32" spans="3:11" x14ac:dyDescent="0.25">
      <c r="C32" s="6"/>
      <c r="D32" s="6"/>
      <c r="E32" s="6"/>
      <c r="F32" s="6"/>
      <c r="G32" s="6"/>
      <c r="H32" s="6"/>
      <c r="I32" s="6"/>
      <c r="J32" s="6"/>
      <c r="K32" s="6"/>
    </row>
  </sheetData>
  <sheetProtection algorithmName="SHA-512" hashValue="KIOlFsg/mihvp/S2LR/ZTY4E94YUg3+MsUF8xpqzc50DkMIsjU2df6fDHxCbI0paVyNROXpes+T+0u18/wxcgw==" saltValue="R+CrAYtrMqm3+9sI/3NDyw==" spinCount="100000" sheet="1" objects="1" scenarios="1"/>
  <mergeCells count="3">
    <mergeCell ref="C1:K1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H56" sqref="H56"/>
    </sheetView>
  </sheetViews>
  <sheetFormatPr defaultRowHeight="15" x14ac:dyDescent="0.25"/>
  <cols>
    <col min="1" max="1" width="40.5703125" customWidth="1"/>
    <col min="2" max="2" width="38.5703125" bestFit="1" customWidth="1"/>
    <col min="3" max="3" width="15.85546875" style="8" customWidth="1"/>
    <col min="4" max="4" width="12.5703125" style="8" bestFit="1" customWidth="1"/>
    <col min="5" max="10" width="9.140625" style="21"/>
    <col min="11" max="11" width="14" style="21" customWidth="1"/>
    <col min="12" max="12" width="13.85546875" customWidth="1"/>
    <col min="13" max="13" width="13" customWidth="1"/>
  </cols>
  <sheetData>
    <row r="1" spans="1:13" x14ac:dyDescent="0.25">
      <c r="D1" s="240" t="s">
        <v>85</v>
      </c>
      <c r="E1" s="241"/>
      <c r="F1" s="241"/>
      <c r="G1" s="241"/>
      <c r="H1" s="241"/>
      <c r="I1" s="241"/>
      <c r="J1" s="241"/>
      <c r="K1" s="241"/>
      <c r="L1" s="241"/>
    </row>
    <row r="2" spans="1:13" ht="48.75" customHeight="1" x14ac:dyDescent="0.25">
      <c r="A2" s="29" t="s">
        <v>83</v>
      </c>
      <c r="B2" s="29" t="s">
        <v>46</v>
      </c>
      <c r="C2" s="30" t="s">
        <v>84</v>
      </c>
      <c r="D2" s="35" t="s">
        <v>1</v>
      </c>
      <c r="E2" s="35" t="s">
        <v>2</v>
      </c>
      <c r="F2" s="35" t="s">
        <v>74</v>
      </c>
      <c r="G2" s="35" t="s">
        <v>3</v>
      </c>
      <c r="H2" s="35" t="s">
        <v>4</v>
      </c>
      <c r="I2" s="35" t="s">
        <v>106</v>
      </c>
      <c r="J2" s="35" t="s">
        <v>105</v>
      </c>
      <c r="K2" s="35" t="s">
        <v>76</v>
      </c>
      <c r="L2" s="35" t="s">
        <v>27</v>
      </c>
      <c r="M2" s="40" t="s">
        <v>115</v>
      </c>
    </row>
    <row r="3" spans="1:13" x14ac:dyDescent="0.25">
      <c r="A3" s="13"/>
      <c r="B3" s="13"/>
      <c r="C3" s="25"/>
      <c r="D3" s="25"/>
      <c r="E3" s="17"/>
      <c r="F3" s="17"/>
      <c r="G3" s="17"/>
      <c r="H3" s="17"/>
      <c r="I3" s="17"/>
      <c r="J3" s="17"/>
      <c r="K3" s="17"/>
      <c r="L3" s="17"/>
    </row>
    <row r="4" spans="1:13" ht="24" customHeight="1" x14ac:dyDescent="0.25">
      <c r="A4" s="13" t="s">
        <v>53</v>
      </c>
      <c r="B4" s="24" t="s">
        <v>36</v>
      </c>
      <c r="C4" s="25">
        <f>216838.2-M4</f>
        <v>165105.60000000001</v>
      </c>
      <c r="D4" s="25">
        <v>165105.59999999998</v>
      </c>
      <c r="E4" s="17"/>
      <c r="F4" s="17"/>
      <c r="G4" s="17"/>
      <c r="H4" s="17"/>
      <c r="I4" s="17"/>
      <c r="J4" s="17"/>
      <c r="L4" s="17"/>
      <c r="M4" s="39">
        <v>51732.600000000006</v>
      </c>
    </row>
    <row r="5" spans="1:13" ht="24" customHeight="1" x14ac:dyDescent="0.25">
      <c r="A5" s="13" t="s">
        <v>57</v>
      </c>
      <c r="B5" s="24" t="s">
        <v>39</v>
      </c>
      <c r="C5" s="25">
        <v>78412</v>
      </c>
      <c r="D5" s="25"/>
      <c r="E5" s="17"/>
      <c r="F5" s="17">
        <v>9516</v>
      </c>
      <c r="G5" s="17"/>
      <c r="H5" s="17"/>
      <c r="I5" s="17"/>
      <c r="J5" s="17"/>
      <c r="K5" s="17">
        <f>C5-F5</f>
        <v>68896</v>
      </c>
      <c r="L5" s="17"/>
    </row>
    <row r="6" spans="1:13" ht="24" customHeight="1" x14ac:dyDescent="0.25">
      <c r="A6" s="13" t="s">
        <v>61</v>
      </c>
      <c r="B6" s="24" t="s">
        <v>62</v>
      </c>
      <c r="C6" s="25">
        <v>15868</v>
      </c>
      <c r="D6" s="25"/>
      <c r="E6" s="17"/>
      <c r="F6" s="17"/>
      <c r="G6" s="17"/>
      <c r="H6" s="17"/>
      <c r="I6" s="17"/>
      <c r="J6" s="17"/>
      <c r="K6" s="17">
        <f>C6</f>
        <v>15868</v>
      </c>
      <c r="L6" s="17"/>
    </row>
    <row r="7" spans="1:13" ht="24" customHeight="1" x14ac:dyDescent="0.25">
      <c r="A7" s="13" t="s">
        <v>59</v>
      </c>
      <c r="B7" s="24" t="s">
        <v>41</v>
      </c>
      <c r="C7" s="25">
        <v>42276</v>
      </c>
      <c r="D7" s="25"/>
      <c r="E7" s="17"/>
      <c r="F7" s="17"/>
      <c r="G7" s="17"/>
      <c r="H7" s="17"/>
      <c r="I7" s="17"/>
      <c r="J7" s="17"/>
      <c r="K7" s="17">
        <v>42276</v>
      </c>
      <c r="L7" s="17"/>
    </row>
    <row r="8" spans="1:13" ht="24" customHeight="1" x14ac:dyDescent="0.25">
      <c r="A8" s="13" t="s">
        <v>54</v>
      </c>
      <c r="B8" s="24" t="s">
        <v>37</v>
      </c>
      <c r="C8" s="25">
        <v>60663</v>
      </c>
      <c r="D8" s="25">
        <v>47844.840000000004</v>
      </c>
      <c r="E8" s="17"/>
      <c r="F8" s="17">
        <v>4582</v>
      </c>
      <c r="G8" s="17"/>
      <c r="H8" s="17"/>
      <c r="I8" s="17"/>
      <c r="J8" s="17"/>
      <c r="K8" s="17">
        <f>C8-D8-F8</f>
        <v>8236.1599999999962</v>
      </c>
      <c r="L8" s="17"/>
    </row>
    <row r="9" spans="1:13" ht="24" customHeight="1" x14ac:dyDescent="0.25">
      <c r="A9" s="13" t="s">
        <v>50</v>
      </c>
      <c r="B9" s="24" t="s">
        <v>33</v>
      </c>
      <c r="C9" s="25">
        <v>57134</v>
      </c>
      <c r="D9" s="25">
        <v>45180.12000000001</v>
      </c>
      <c r="E9" s="17"/>
      <c r="F9" s="17"/>
      <c r="G9" s="17"/>
      <c r="H9" s="17"/>
      <c r="I9" s="17"/>
      <c r="J9" s="17"/>
      <c r="K9" s="17">
        <f>C9-D9</f>
        <v>11953.87999999999</v>
      </c>
      <c r="L9" s="17"/>
    </row>
    <row r="10" spans="1:13" ht="24" customHeight="1" x14ac:dyDescent="0.25">
      <c r="A10" s="13" t="s">
        <v>52</v>
      </c>
      <c r="B10" s="24" t="s">
        <v>35</v>
      </c>
      <c r="C10" s="25">
        <v>45192</v>
      </c>
      <c r="D10" s="25">
        <v>45191.51999999999</v>
      </c>
      <c r="E10" s="17"/>
      <c r="F10" s="17"/>
      <c r="G10" s="17"/>
      <c r="H10" s="17"/>
      <c r="I10" s="17"/>
      <c r="J10" s="17"/>
      <c r="K10" s="17"/>
      <c r="L10" s="17"/>
    </row>
    <row r="11" spans="1:13" ht="24" customHeight="1" x14ac:dyDescent="0.25">
      <c r="A11" s="13" t="s">
        <v>52</v>
      </c>
      <c r="B11" s="24" t="s">
        <v>44</v>
      </c>
      <c r="C11" s="25">
        <v>42360</v>
      </c>
      <c r="D11" s="27"/>
      <c r="E11" s="28"/>
      <c r="F11" s="28"/>
      <c r="G11" s="28"/>
      <c r="H11" s="28"/>
      <c r="I11" s="28"/>
      <c r="J11" s="28"/>
      <c r="K11" s="28">
        <f>C11</f>
        <v>42360</v>
      </c>
      <c r="L11" s="28"/>
    </row>
    <row r="12" spans="1:13" s="5" customFormat="1" ht="24" customHeight="1" x14ac:dyDescent="0.25">
      <c r="A12" s="13" t="s">
        <v>56</v>
      </c>
      <c r="B12" s="24" t="s">
        <v>55</v>
      </c>
      <c r="C12" s="25">
        <v>44025</v>
      </c>
      <c r="D12" s="25">
        <v>44024.879999999983</v>
      </c>
      <c r="E12" s="17"/>
      <c r="F12" s="17"/>
      <c r="G12" s="17"/>
      <c r="H12" s="17"/>
      <c r="I12" s="17"/>
      <c r="J12" s="17"/>
      <c r="K12" s="17"/>
      <c r="L12" s="17"/>
    </row>
    <row r="13" spans="1:13" ht="24" customHeight="1" x14ac:dyDescent="0.25">
      <c r="A13" s="13" t="s">
        <v>51</v>
      </c>
      <c r="B13" s="24" t="s">
        <v>34</v>
      </c>
      <c r="C13" s="25">
        <v>41160</v>
      </c>
      <c r="D13" s="25"/>
      <c r="E13" s="17"/>
      <c r="F13" s="17">
        <v>3815.89</v>
      </c>
      <c r="G13" s="26"/>
      <c r="H13" s="17"/>
      <c r="I13" s="17"/>
      <c r="J13" s="17"/>
      <c r="K13" s="17">
        <v>37344</v>
      </c>
      <c r="L13" s="17"/>
      <c r="M13" s="8"/>
    </row>
    <row r="14" spans="1:13" ht="24" customHeight="1" x14ac:dyDescent="0.25">
      <c r="A14" s="13" t="s">
        <v>67</v>
      </c>
      <c r="B14" s="24" t="s">
        <v>64</v>
      </c>
      <c r="C14" s="25">
        <v>60663</v>
      </c>
      <c r="D14" s="25"/>
      <c r="E14" s="17"/>
      <c r="F14" s="17"/>
      <c r="G14" s="17"/>
      <c r="H14" s="17"/>
      <c r="I14" s="17"/>
      <c r="J14" s="17"/>
      <c r="K14" s="17">
        <f>C14</f>
        <v>60663</v>
      </c>
      <c r="L14" s="17"/>
    </row>
    <row r="15" spans="1:13" ht="24" customHeight="1" x14ac:dyDescent="0.25">
      <c r="A15" s="13" t="s">
        <v>45</v>
      </c>
      <c r="B15" s="24" t="s">
        <v>64</v>
      </c>
      <c r="C15" s="25">
        <v>44025</v>
      </c>
      <c r="D15" s="25"/>
      <c r="E15" s="17"/>
      <c r="F15" s="17"/>
      <c r="G15" s="17"/>
      <c r="H15" s="17"/>
      <c r="I15" s="17"/>
      <c r="J15" s="17"/>
      <c r="K15" s="17">
        <f>C15</f>
        <v>44025</v>
      </c>
      <c r="L15" s="17"/>
    </row>
    <row r="16" spans="1:13" ht="24" customHeight="1" x14ac:dyDescent="0.25">
      <c r="A16" s="13" t="s">
        <v>58</v>
      </c>
      <c r="B16" s="24" t="s">
        <v>68</v>
      </c>
      <c r="C16" s="25">
        <v>60496</v>
      </c>
      <c r="D16" s="25">
        <v>60496.079999999987</v>
      </c>
      <c r="E16" s="17"/>
      <c r="F16" s="17"/>
      <c r="G16" s="17"/>
      <c r="H16" s="17"/>
      <c r="I16" s="17"/>
      <c r="J16" s="17"/>
      <c r="K16" s="17"/>
      <c r="L16" s="17"/>
    </row>
    <row r="17" spans="1:12" ht="24" customHeight="1" x14ac:dyDescent="0.25">
      <c r="A17" s="13" t="s">
        <v>48</v>
      </c>
      <c r="B17" s="24" t="s">
        <v>31</v>
      </c>
      <c r="C17" s="25">
        <v>54309</v>
      </c>
      <c r="D17" s="25">
        <v>54308.52</v>
      </c>
      <c r="E17" s="17"/>
      <c r="F17" s="17"/>
      <c r="G17" s="17"/>
      <c r="H17" s="17"/>
      <c r="I17" s="17"/>
      <c r="J17" s="17"/>
      <c r="K17" s="17"/>
      <c r="L17" s="17"/>
    </row>
    <row r="18" spans="1:12" ht="24" customHeight="1" x14ac:dyDescent="0.25">
      <c r="A18" s="13" t="s">
        <v>63</v>
      </c>
      <c r="B18" s="24" t="s">
        <v>65</v>
      </c>
      <c r="C18" s="25">
        <v>37786</v>
      </c>
      <c r="D18" s="25"/>
      <c r="E18" s="17"/>
      <c r="F18" s="17"/>
      <c r="G18" s="17"/>
      <c r="H18" s="17"/>
      <c r="I18" s="17"/>
      <c r="J18" s="17"/>
      <c r="K18" s="17">
        <v>37786.320000000007</v>
      </c>
      <c r="L18" s="17"/>
    </row>
    <row r="19" spans="1:12" ht="24" customHeight="1" x14ac:dyDescent="0.25">
      <c r="A19" s="13" t="s">
        <v>63</v>
      </c>
      <c r="B19" s="24" t="s">
        <v>66</v>
      </c>
      <c r="C19" s="25">
        <v>42935</v>
      </c>
      <c r="D19" s="25"/>
      <c r="E19" s="17"/>
      <c r="F19" s="17"/>
      <c r="G19" s="17"/>
      <c r="H19" s="17"/>
      <c r="I19" s="17"/>
      <c r="J19" s="17"/>
      <c r="K19" s="17">
        <v>42934.559999999998</v>
      </c>
      <c r="L19" s="17"/>
    </row>
    <row r="20" spans="1:12" ht="24" customHeight="1" x14ac:dyDescent="0.25">
      <c r="A20" s="13" t="s">
        <v>49</v>
      </c>
      <c r="B20" s="24" t="s">
        <v>32</v>
      </c>
      <c r="C20" s="25">
        <v>63920</v>
      </c>
      <c r="D20" s="25">
        <v>60419.280000000006</v>
      </c>
      <c r="E20" s="17"/>
      <c r="F20" s="17"/>
      <c r="G20" s="17"/>
      <c r="H20" s="17"/>
      <c r="I20" s="17"/>
      <c r="J20" s="17"/>
      <c r="K20" s="17">
        <f>C20-D20</f>
        <v>3500.7199999999939</v>
      </c>
      <c r="L20" s="17"/>
    </row>
    <row r="21" spans="1:12" ht="24" customHeight="1" x14ac:dyDescent="0.25">
      <c r="A21" s="13" t="s">
        <v>47</v>
      </c>
      <c r="B21" s="24" t="s">
        <v>30</v>
      </c>
      <c r="C21" s="25">
        <v>23192</v>
      </c>
      <c r="D21" s="22"/>
      <c r="E21" s="23"/>
      <c r="F21" s="23"/>
      <c r="G21" s="23">
        <v>23191.68</v>
      </c>
      <c r="H21" s="23"/>
      <c r="I21" s="23"/>
      <c r="J21" s="23"/>
      <c r="K21" s="23"/>
      <c r="L21" s="23"/>
    </row>
    <row r="22" spans="1:12" ht="24" customHeight="1" x14ac:dyDescent="0.25">
      <c r="A22" s="13" t="s">
        <v>47</v>
      </c>
      <c r="B22" s="24" t="s">
        <v>38</v>
      </c>
      <c r="C22" s="25">
        <v>57134</v>
      </c>
      <c r="D22" s="25">
        <f>C22-F22-G22</f>
        <v>37513.69</v>
      </c>
      <c r="E22" s="17"/>
      <c r="F22" s="17">
        <f>107.43+6742</f>
        <v>6849.43</v>
      </c>
      <c r="G22" s="17">
        <v>12770.88</v>
      </c>
      <c r="H22" s="17"/>
      <c r="I22" s="17"/>
      <c r="J22" s="17"/>
      <c r="K22" s="17"/>
      <c r="L22" s="17"/>
    </row>
    <row r="23" spans="1:12" ht="24" customHeight="1" x14ac:dyDescent="0.25">
      <c r="A23" s="13" t="s">
        <v>47</v>
      </c>
      <c r="B23" s="24" t="s">
        <v>81</v>
      </c>
      <c r="C23" s="25">
        <v>44689</v>
      </c>
      <c r="D23" s="25">
        <f>C23/2</f>
        <v>22344.5</v>
      </c>
      <c r="E23" s="17"/>
      <c r="F23" s="17"/>
      <c r="G23" s="17"/>
      <c r="H23" s="17"/>
      <c r="I23" s="17"/>
      <c r="J23" s="17"/>
      <c r="K23" s="17">
        <f>C23/2</f>
        <v>22344.5</v>
      </c>
      <c r="L23" s="17"/>
    </row>
    <row r="24" spans="1:12" ht="24" customHeight="1" x14ac:dyDescent="0.25">
      <c r="A24" s="13" t="s">
        <v>47</v>
      </c>
      <c r="B24" s="24" t="s">
        <v>131</v>
      </c>
      <c r="C24" s="25">
        <v>0</v>
      </c>
      <c r="D24" s="25"/>
      <c r="E24" s="17"/>
      <c r="F24" s="17"/>
      <c r="G24" s="17"/>
      <c r="H24" s="17"/>
      <c r="I24" s="17"/>
      <c r="J24" s="17"/>
      <c r="K24" s="17"/>
      <c r="L24" s="17"/>
    </row>
    <row r="25" spans="1:12" ht="24" customHeight="1" x14ac:dyDescent="0.25">
      <c r="A25" s="13" t="s">
        <v>47</v>
      </c>
      <c r="B25" s="24" t="s">
        <v>132</v>
      </c>
      <c r="C25" s="25">
        <v>0</v>
      </c>
      <c r="D25" s="25"/>
      <c r="E25" s="17"/>
      <c r="F25" s="17"/>
      <c r="G25" s="17"/>
      <c r="H25" s="17"/>
      <c r="I25" s="17"/>
      <c r="J25" s="17"/>
      <c r="K25" s="17"/>
      <c r="L25" s="17"/>
    </row>
    <row r="26" spans="1:12" ht="24" customHeight="1" x14ac:dyDescent="0.25">
      <c r="A26" s="13" t="s">
        <v>47</v>
      </c>
      <c r="B26" s="24" t="s">
        <v>40</v>
      </c>
      <c r="C26" s="25">
        <v>44689</v>
      </c>
      <c r="D26" s="25">
        <f>C26-E26</f>
        <v>20153</v>
      </c>
      <c r="E26" s="17">
        <v>24536</v>
      </c>
      <c r="F26" s="17"/>
      <c r="G26" s="17"/>
      <c r="H26" s="17"/>
      <c r="I26" s="17"/>
      <c r="J26" s="17"/>
      <c r="K26" s="17"/>
      <c r="L26" s="17"/>
    </row>
    <row r="27" spans="1:12" ht="24" customHeight="1" x14ac:dyDescent="0.25">
      <c r="A27" s="13" t="s">
        <v>47</v>
      </c>
      <c r="B27" s="24" t="s">
        <v>82</v>
      </c>
      <c r="C27" s="25">
        <v>44689</v>
      </c>
      <c r="D27" s="25">
        <f>C27/2</f>
        <v>22344.5</v>
      </c>
      <c r="E27" s="17"/>
      <c r="F27" s="17"/>
      <c r="G27" s="17"/>
      <c r="H27" s="17"/>
      <c r="I27" s="17"/>
      <c r="J27" s="17"/>
      <c r="K27" s="17">
        <f>D27</f>
        <v>22344.5</v>
      </c>
      <c r="L27" s="17"/>
    </row>
    <row r="28" spans="1:12" ht="24" customHeight="1" x14ac:dyDescent="0.25">
      <c r="A28" s="13" t="s">
        <v>47</v>
      </c>
      <c r="B28" s="24" t="s">
        <v>42</v>
      </c>
      <c r="C28" s="25">
        <v>44689</v>
      </c>
      <c r="D28" s="25">
        <f>C28/2</f>
        <v>22344.5</v>
      </c>
      <c r="E28" s="17"/>
      <c r="F28" s="17"/>
      <c r="G28" s="17"/>
      <c r="H28" s="17"/>
      <c r="I28" s="17"/>
      <c r="J28" s="17"/>
      <c r="K28" s="17">
        <f>D28</f>
        <v>22344.5</v>
      </c>
      <c r="L28" s="17"/>
    </row>
    <row r="29" spans="1:12" ht="24" customHeight="1" x14ac:dyDescent="0.25">
      <c r="A29" s="13" t="s">
        <v>47</v>
      </c>
      <c r="B29" s="24" t="s">
        <v>79</v>
      </c>
      <c r="C29" s="25">
        <v>44689</v>
      </c>
      <c r="D29" s="25">
        <f>C29/2</f>
        <v>22344.5</v>
      </c>
      <c r="E29" s="17"/>
      <c r="F29" s="17"/>
      <c r="G29" s="17"/>
      <c r="H29" s="17"/>
      <c r="I29" s="17"/>
      <c r="J29" s="17"/>
      <c r="K29" s="17">
        <f>D29</f>
        <v>22344.5</v>
      </c>
      <c r="L29" s="17"/>
    </row>
    <row r="30" spans="1:12" ht="24" customHeight="1" x14ac:dyDescent="0.25">
      <c r="A30" s="13" t="s">
        <v>47</v>
      </c>
      <c r="B30" s="24" t="s">
        <v>80</v>
      </c>
      <c r="C30" s="25">
        <v>44689</v>
      </c>
      <c r="D30" s="25">
        <f>C30/2</f>
        <v>22344.5</v>
      </c>
      <c r="E30" s="17"/>
      <c r="F30" s="17"/>
      <c r="G30" s="17"/>
      <c r="H30" s="17"/>
      <c r="I30" s="17"/>
      <c r="J30" s="17"/>
      <c r="K30" s="17">
        <f>D30</f>
        <v>22344.5</v>
      </c>
      <c r="L30" s="17"/>
    </row>
    <row r="31" spans="1:12" ht="24" customHeight="1" x14ac:dyDescent="0.25">
      <c r="A31" s="13" t="s">
        <v>60</v>
      </c>
      <c r="B31" s="24" t="s">
        <v>43</v>
      </c>
      <c r="C31" s="25">
        <v>43518</v>
      </c>
      <c r="D31" s="25">
        <f>C31/2</f>
        <v>21759</v>
      </c>
      <c r="E31" s="17"/>
      <c r="F31" s="17"/>
      <c r="G31" s="17"/>
      <c r="H31" s="17"/>
      <c r="I31" s="17"/>
      <c r="J31" s="17"/>
      <c r="K31" s="17">
        <f>D31</f>
        <v>21759</v>
      </c>
      <c r="L31" s="17"/>
    </row>
    <row r="32" spans="1:12" ht="19.5" customHeight="1" x14ac:dyDescent="0.25">
      <c r="A32" s="131" t="s">
        <v>133</v>
      </c>
      <c r="B32" s="132" t="s">
        <v>75</v>
      </c>
      <c r="C32" s="133">
        <f>C30</f>
        <v>44689</v>
      </c>
      <c r="D32" s="133">
        <f>C32</f>
        <v>44689</v>
      </c>
      <c r="E32" s="134"/>
      <c r="F32" s="134"/>
      <c r="G32" s="134"/>
      <c r="H32" s="134"/>
      <c r="I32" s="134"/>
      <c r="J32" s="134"/>
      <c r="K32" s="134"/>
      <c r="L32" s="134"/>
    </row>
    <row r="33" spans="1:13" ht="24" customHeight="1" x14ac:dyDescent="0.25">
      <c r="A33" s="238" t="s">
        <v>150</v>
      </c>
      <c r="B33" s="239"/>
      <c r="C33" s="15">
        <f t="shared" ref="C33:M33" si="0">SUM(C4:C32)</f>
        <v>1392996.6</v>
      </c>
      <c r="D33" s="15">
        <f>SUM(D4:D32)</f>
        <v>758408.03</v>
      </c>
      <c r="E33" s="31">
        <f t="shared" si="0"/>
        <v>24536</v>
      </c>
      <c r="F33" s="31">
        <f t="shared" si="0"/>
        <v>24763.32</v>
      </c>
      <c r="G33" s="31">
        <f t="shared" si="0"/>
        <v>35962.559999999998</v>
      </c>
      <c r="H33" s="31">
        <f t="shared" si="0"/>
        <v>0</v>
      </c>
      <c r="I33" s="31"/>
      <c r="J33" s="31"/>
      <c r="K33" s="31">
        <f t="shared" si="0"/>
        <v>549325.1399999999</v>
      </c>
      <c r="L33" s="31">
        <f t="shared" si="0"/>
        <v>0</v>
      </c>
      <c r="M33" s="8">
        <f t="shared" si="0"/>
        <v>51732.600000000006</v>
      </c>
    </row>
    <row r="34" spans="1:13" x14ac:dyDescent="0.25">
      <c r="L34" s="21"/>
    </row>
    <row r="35" spans="1:13" x14ac:dyDescent="0.25">
      <c r="A35" s="5" t="s">
        <v>86</v>
      </c>
      <c r="D35" s="19"/>
      <c r="E35" s="20"/>
      <c r="F35" s="20"/>
      <c r="G35" s="20"/>
      <c r="H35" s="20"/>
      <c r="I35" s="20"/>
      <c r="J35" s="20"/>
      <c r="K35" s="20"/>
      <c r="L35" s="20"/>
    </row>
    <row r="36" spans="1:13" x14ac:dyDescent="0.25">
      <c r="A36" s="32" t="s">
        <v>87</v>
      </c>
      <c r="B36" s="32" t="s">
        <v>93</v>
      </c>
      <c r="C36" s="25">
        <v>14674.121999999999</v>
      </c>
      <c r="D36" s="25">
        <v>662.28419608999354</v>
      </c>
      <c r="E36" s="17"/>
      <c r="F36" s="17">
        <v>9617.7454629278036</v>
      </c>
      <c r="G36" s="17">
        <v>1451.9405978925208</v>
      </c>
      <c r="H36" s="17"/>
      <c r="I36" s="17"/>
      <c r="J36" s="17"/>
      <c r="K36" s="17">
        <v>2942.1517430896806</v>
      </c>
      <c r="L36" s="17"/>
    </row>
    <row r="37" spans="1:13" x14ac:dyDescent="0.25">
      <c r="A37" s="33" t="s">
        <v>88</v>
      </c>
      <c r="B37" s="33" t="s">
        <v>94</v>
      </c>
      <c r="C37" s="25">
        <v>14674.121999999999</v>
      </c>
      <c r="D37" s="25">
        <v>662.28419608999354</v>
      </c>
      <c r="E37" s="17"/>
      <c r="F37" s="17">
        <v>9617.7454629278036</v>
      </c>
      <c r="G37" s="17">
        <v>1451.9405978925208</v>
      </c>
      <c r="H37" s="17"/>
      <c r="I37" s="17"/>
      <c r="J37" s="17"/>
      <c r="K37" s="17">
        <v>2942.1517430896806</v>
      </c>
      <c r="L37" s="17"/>
    </row>
    <row r="38" spans="1:13" x14ac:dyDescent="0.25">
      <c r="A38" s="33" t="s">
        <v>89</v>
      </c>
      <c r="B38" s="33" t="s">
        <v>95</v>
      </c>
      <c r="C38" s="25">
        <v>14674.121999999999</v>
      </c>
      <c r="D38" s="25">
        <v>662.28419608999354</v>
      </c>
      <c r="E38" s="17"/>
      <c r="F38" s="17">
        <v>9617.7454629278036</v>
      </c>
      <c r="G38" s="17">
        <v>1451.9405978925208</v>
      </c>
      <c r="H38" s="17"/>
      <c r="I38" s="17"/>
      <c r="J38" s="17"/>
      <c r="K38" s="17">
        <v>2942.1517430896806</v>
      </c>
      <c r="L38" s="17"/>
    </row>
    <row r="39" spans="1:13" x14ac:dyDescent="0.25">
      <c r="A39" s="33" t="s">
        <v>90</v>
      </c>
      <c r="B39" s="33" t="s">
        <v>96</v>
      </c>
      <c r="C39" s="25">
        <v>9030.1935483870984</v>
      </c>
      <c r="D39" s="25">
        <v>407.55790872739072</v>
      </c>
      <c r="E39" s="17"/>
      <c r="F39" s="17">
        <v>5918.5894072135934</v>
      </c>
      <c r="G39" s="17">
        <v>893.49840622357829</v>
      </c>
      <c r="H39" s="17"/>
      <c r="I39" s="17"/>
      <c r="J39" s="17"/>
      <c r="K39" s="17">
        <v>1810.5478262225358</v>
      </c>
      <c r="L39" s="17"/>
    </row>
    <row r="40" spans="1:13" x14ac:dyDescent="0.25">
      <c r="A40" s="33" t="s">
        <v>91</v>
      </c>
      <c r="B40" s="33" t="s">
        <v>97</v>
      </c>
      <c r="C40" s="25">
        <v>14674.121999999999</v>
      </c>
      <c r="D40" s="25">
        <v>662.28419608999354</v>
      </c>
      <c r="E40" s="17"/>
      <c r="F40" s="17">
        <v>9617.7454629278036</v>
      </c>
      <c r="G40" s="17">
        <v>1451.9405978925208</v>
      </c>
      <c r="H40" s="17"/>
      <c r="I40" s="17"/>
      <c r="J40" s="17"/>
      <c r="K40" s="17">
        <v>2942.1517430896806</v>
      </c>
      <c r="L40" s="17"/>
    </row>
    <row r="41" spans="1:13" x14ac:dyDescent="0.25">
      <c r="A41" s="34" t="s">
        <v>92</v>
      </c>
      <c r="B41" s="13" t="s">
        <v>98</v>
      </c>
      <c r="C41" s="25">
        <v>20317.93548387097</v>
      </c>
      <c r="D41" s="25">
        <v>917.00529463662906</v>
      </c>
      <c r="E41" s="17"/>
      <c r="F41" s="17">
        <v>13316.826166230583</v>
      </c>
      <c r="G41" s="17">
        <v>2010.3714140030511</v>
      </c>
      <c r="H41" s="17"/>
      <c r="I41" s="17"/>
      <c r="J41" s="17"/>
      <c r="K41" s="17">
        <v>4073.7326090007055</v>
      </c>
      <c r="L41" s="17"/>
    </row>
    <row r="42" spans="1:13" s="137" customFormat="1" x14ac:dyDescent="0.25">
      <c r="A42" s="13" t="s">
        <v>136</v>
      </c>
      <c r="B42" s="13" t="s">
        <v>158</v>
      </c>
      <c r="C42" s="25">
        <f>20364/1.55</f>
        <v>13138.064516129032</v>
      </c>
      <c r="D42" s="25"/>
      <c r="E42" s="17"/>
      <c r="F42" s="17"/>
      <c r="G42" s="17">
        <f>C42</f>
        <v>13138.064516129032</v>
      </c>
      <c r="H42" s="21"/>
      <c r="I42" s="17"/>
      <c r="J42" s="17"/>
    </row>
    <row r="43" spans="1:13" x14ac:dyDescent="0.25">
      <c r="A43" s="13" t="s">
        <v>137</v>
      </c>
      <c r="B43" s="13" t="s">
        <v>155</v>
      </c>
      <c r="C43" s="25">
        <v>17500</v>
      </c>
      <c r="D43" s="25"/>
      <c r="E43" s="17"/>
      <c r="F43" s="17"/>
      <c r="G43" s="17"/>
      <c r="I43" s="17"/>
      <c r="J43" s="17"/>
      <c r="K43" s="17">
        <v>17500</v>
      </c>
      <c r="L43" s="17"/>
    </row>
    <row r="44" spans="1:13" x14ac:dyDescent="0.25">
      <c r="A44" s="13" t="s">
        <v>138</v>
      </c>
      <c r="B44" s="13" t="s">
        <v>134</v>
      </c>
      <c r="C44" s="25">
        <v>21500</v>
      </c>
      <c r="D44" s="25"/>
      <c r="E44" s="17"/>
      <c r="F44" s="17"/>
      <c r="G44" s="17"/>
      <c r="I44" s="17"/>
      <c r="J44" s="17"/>
      <c r="K44" s="17">
        <v>21500</v>
      </c>
      <c r="L44" s="17"/>
    </row>
    <row r="45" spans="1:13" x14ac:dyDescent="0.25">
      <c r="A45" s="24" t="s">
        <v>156</v>
      </c>
      <c r="B45" s="13" t="s">
        <v>157</v>
      </c>
      <c r="C45" s="25">
        <v>37400</v>
      </c>
      <c r="D45" s="25"/>
      <c r="E45" s="17"/>
      <c r="F45" s="17"/>
      <c r="G45" s="17"/>
      <c r="I45" s="17"/>
      <c r="J45" s="17"/>
      <c r="K45" s="17">
        <f>18700*2</f>
        <v>37400</v>
      </c>
      <c r="L45" s="17"/>
    </row>
    <row r="46" spans="1:13" x14ac:dyDescent="0.25">
      <c r="A46" s="13"/>
      <c r="B46" s="13"/>
      <c r="C46" s="25"/>
      <c r="D46" s="25"/>
      <c r="E46" s="17"/>
      <c r="F46" s="17"/>
      <c r="G46" s="17"/>
      <c r="H46" s="17"/>
      <c r="I46" s="17"/>
      <c r="J46" s="17"/>
      <c r="K46" s="17"/>
      <c r="L46" s="17"/>
    </row>
    <row r="47" spans="1:13" x14ac:dyDescent="0.25">
      <c r="A47" s="13"/>
      <c r="B47" s="13"/>
      <c r="C47" s="25"/>
      <c r="D47" s="25"/>
      <c r="E47" s="17"/>
      <c r="F47" s="17"/>
      <c r="G47" s="17"/>
      <c r="H47" s="17"/>
      <c r="I47" s="17"/>
      <c r="J47" s="17"/>
      <c r="K47" s="17"/>
      <c r="L47" s="17"/>
    </row>
    <row r="48" spans="1:13" x14ac:dyDescent="0.25">
      <c r="A48" s="13"/>
      <c r="B48" s="13"/>
      <c r="C48" s="25"/>
      <c r="D48" s="25"/>
      <c r="E48" s="17"/>
      <c r="F48" s="17"/>
      <c r="G48" s="17"/>
      <c r="H48" s="17"/>
      <c r="I48" s="17"/>
      <c r="J48" s="17"/>
      <c r="K48" s="17"/>
      <c r="L48" s="17"/>
    </row>
    <row r="49" spans="1:13" x14ac:dyDescent="0.25">
      <c r="A49" s="13"/>
      <c r="B49" s="13"/>
      <c r="C49" s="25"/>
      <c r="D49" s="25"/>
      <c r="E49" s="17"/>
      <c r="F49" s="17"/>
      <c r="G49" s="17"/>
      <c r="H49" s="17"/>
      <c r="I49" s="17"/>
      <c r="J49" s="17"/>
      <c r="K49" s="17"/>
      <c r="L49" s="17"/>
    </row>
    <row r="50" spans="1:13" s="5" customFormat="1" x14ac:dyDescent="0.25">
      <c r="A50" s="242" t="s">
        <v>150</v>
      </c>
      <c r="B50" s="243"/>
      <c r="C50" s="151">
        <f t="shared" ref="C50:H50" si="1">SUM(C36:C49)</f>
        <v>177582.6815483871</v>
      </c>
      <c r="D50" s="151">
        <f t="shared" si="1"/>
        <v>3973.6999877239941</v>
      </c>
      <c r="E50" s="151">
        <f t="shared" si="1"/>
        <v>0</v>
      </c>
      <c r="F50" s="151">
        <f t="shared" si="1"/>
        <v>57706.397425155395</v>
      </c>
      <c r="G50" s="151">
        <f t="shared" si="1"/>
        <v>21849.696727925744</v>
      </c>
      <c r="H50" s="151">
        <f t="shared" si="1"/>
        <v>0</v>
      </c>
      <c r="I50" s="151"/>
      <c r="J50" s="151"/>
      <c r="K50" s="151">
        <f>SUM(K36:K49)</f>
        <v>94052.887407581962</v>
      </c>
      <c r="L50" s="151">
        <f>SUM(L36:L49)</f>
        <v>0</v>
      </c>
      <c r="M50" s="151">
        <f>SUM(M36:M49)</f>
        <v>0</v>
      </c>
    </row>
    <row r="51" spans="1:13" x14ac:dyDescent="0.25">
      <c r="L51" s="21"/>
    </row>
    <row r="52" spans="1:13" s="5" customFormat="1" x14ac:dyDescent="0.25">
      <c r="A52" s="244" t="s">
        <v>139</v>
      </c>
      <c r="B52" s="244"/>
      <c r="C52" s="36">
        <f t="shared" ref="C52:H52" si="2">C33+C50</f>
        <v>1570579.2815483871</v>
      </c>
      <c r="D52" s="36">
        <f t="shared" si="2"/>
        <v>762381.72998772399</v>
      </c>
      <c r="E52" s="36">
        <f t="shared" si="2"/>
        <v>24536</v>
      </c>
      <c r="F52" s="36">
        <f t="shared" si="2"/>
        <v>82469.717425155395</v>
      </c>
      <c r="G52" s="36">
        <f t="shared" si="2"/>
        <v>57812.256727925742</v>
      </c>
      <c r="H52" s="36">
        <f t="shared" si="2"/>
        <v>0</v>
      </c>
      <c r="I52" s="36"/>
      <c r="J52" s="36"/>
      <c r="K52" s="36">
        <f>K33+K50</f>
        <v>643378.02740758192</v>
      </c>
      <c r="L52" s="36">
        <f>L33+L50</f>
        <v>0</v>
      </c>
      <c r="M52" s="36">
        <f>M33+M50</f>
        <v>51732.600000000006</v>
      </c>
    </row>
  </sheetData>
  <sortState ref="A1:I32">
    <sortCondition ref="A1"/>
  </sortState>
  <mergeCells count="4">
    <mergeCell ref="A33:B33"/>
    <mergeCell ref="D1:L1"/>
    <mergeCell ref="A50:B50"/>
    <mergeCell ref="A52:B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Income analysis</vt:lpstr>
      <vt:lpstr>Implementation</vt:lpstr>
      <vt:lpstr>rolled over implementation</vt:lpstr>
      <vt:lpstr>Research</vt:lpstr>
      <vt:lpstr>Central costs</vt:lpstr>
      <vt:lpstr>Personnel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Nicole Zok</cp:lastModifiedBy>
  <dcterms:created xsi:type="dcterms:W3CDTF">2016-02-10T16:00:59Z</dcterms:created>
  <dcterms:modified xsi:type="dcterms:W3CDTF">2016-06-17T19:43:18Z</dcterms:modified>
</cp:coreProperties>
</file>