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filterPrivacy="1" showInkAnnotation="0" autoCompressPictures="0"/>
  <bookViews>
    <workbookView xWindow="0" yWindow="0" windowWidth="28540" windowHeight="15680" tabRatio="500"/>
  </bookViews>
  <sheets>
    <sheet name="Jake's assumptions" sheetId="4" r:id="rId1"/>
    <sheet name="Natalie's assumptions" sheetId="1" r:id="rId2"/>
    <sheet name="Marginal cost - Jake" sheetId="7" r:id="rId3"/>
    <sheet name="Marginal cost - Natalie" sheetId="6" r:id="rId4"/>
    <sheet name="Mortality decline" sheetId="3" r:id="rId5"/>
    <sheet name="Mortality rate" sheetId="2" r:id="rId6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6" i="1"/>
  <c r="F35" i="1"/>
  <c r="F37" i="1"/>
  <c r="F38" i="1"/>
  <c r="F39" i="1"/>
  <c r="F39" i="6"/>
  <c r="F38" i="6"/>
  <c r="F37" i="6"/>
  <c r="F36" i="6"/>
  <c r="F35" i="6"/>
  <c r="F34" i="6"/>
  <c r="F25" i="6"/>
  <c r="F24" i="6"/>
  <c r="F23" i="6"/>
  <c r="F22" i="6"/>
  <c r="F21" i="6"/>
  <c r="F20" i="6"/>
  <c r="F18" i="6"/>
  <c r="F17" i="6"/>
  <c r="F16" i="6"/>
  <c r="F15" i="6"/>
  <c r="F14" i="6"/>
  <c r="F12" i="6"/>
  <c r="F11" i="6"/>
  <c r="F10" i="6"/>
  <c r="F9" i="6"/>
  <c r="F8" i="6"/>
  <c r="F6" i="6"/>
  <c r="F5" i="6"/>
  <c r="F4" i="6"/>
  <c r="F3" i="6"/>
  <c r="F2" i="6"/>
  <c r="D5" i="1"/>
  <c r="D6" i="1"/>
  <c r="D35" i="1"/>
  <c r="D37" i="1"/>
  <c r="D38" i="1"/>
  <c r="D39" i="1"/>
  <c r="D39" i="6"/>
  <c r="D38" i="6"/>
  <c r="D37" i="6"/>
  <c r="D36" i="6"/>
  <c r="D35" i="6"/>
  <c r="D34" i="6"/>
  <c r="D25" i="6"/>
  <c r="D24" i="6"/>
  <c r="D23" i="6"/>
  <c r="D22" i="6"/>
  <c r="D21" i="6"/>
  <c r="D20" i="6"/>
  <c r="D18" i="6"/>
  <c r="D17" i="6"/>
  <c r="D16" i="6"/>
  <c r="D15" i="6"/>
  <c r="D14" i="6"/>
  <c r="D12" i="6"/>
  <c r="D11" i="6"/>
  <c r="D10" i="6"/>
  <c r="D9" i="6"/>
  <c r="D8" i="6"/>
  <c r="D6" i="6"/>
  <c r="D5" i="6"/>
  <c r="D4" i="6"/>
  <c r="D3" i="6"/>
  <c r="D2" i="6"/>
  <c r="B5" i="1"/>
  <c r="B6" i="1"/>
  <c r="B35" i="1"/>
  <c r="B37" i="1"/>
  <c r="B38" i="1"/>
  <c r="B39" i="1"/>
  <c r="B39" i="6"/>
  <c r="B38" i="6"/>
  <c r="B37" i="6"/>
  <c r="B36" i="6"/>
  <c r="B35" i="6"/>
  <c r="B34" i="6"/>
  <c r="B25" i="6"/>
  <c r="B24" i="6"/>
  <c r="B23" i="6"/>
  <c r="B22" i="6"/>
  <c r="B21" i="6"/>
  <c r="B20" i="6"/>
  <c r="B18" i="6"/>
  <c r="B17" i="6"/>
  <c r="B16" i="6"/>
  <c r="B15" i="6"/>
  <c r="B14" i="6"/>
  <c r="B12" i="6"/>
  <c r="B11" i="6"/>
  <c r="B10" i="6"/>
  <c r="B9" i="6"/>
  <c r="B8" i="6"/>
  <c r="B6" i="6"/>
  <c r="B5" i="6"/>
  <c r="B4" i="6"/>
  <c r="B3" i="6"/>
  <c r="B2" i="6"/>
  <c r="F25" i="7"/>
  <c r="F24" i="7"/>
  <c r="F23" i="7"/>
  <c r="F22" i="7"/>
  <c r="F21" i="7"/>
  <c r="F20" i="7"/>
  <c r="F18" i="7"/>
  <c r="F17" i="7"/>
  <c r="F16" i="7"/>
  <c r="F15" i="7"/>
  <c r="F14" i="7"/>
  <c r="F12" i="7"/>
  <c r="F11" i="7"/>
  <c r="F10" i="7"/>
  <c r="F9" i="7"/>
  <c r="F8" i="7"/>
  <c r="F5" i="4"/>
  <c r="F6" i="4"/>
  <c r="F6" i="7"/>
  <c r="F5" i="7"/>
  <c r="F3" i="7"/>
  <c r="F2" i="7"/>
  <c r="D25" i="7"/>
  <c r="D24" i="7"/>
  <c r="D23" i="7"/>
  <c r="D22" i="7"/>
  <c r="D21" i="7"/>
  <c r="D20" i="7"/>
  <c r="D18" i="7"/>
  <c r="D17" i="7"/>
  <c r="D16" i="7"/>
  <c r="D15" i="7"/>
  <c r="D14" i="7"/>
  <c r="D12" i="7"/>
  <c r="D11" i="7"/>
  <c r="D10" i="7"/>
  <c r="D9" i="7"/>
  <c r="D8" i="7"/>
  <c r="D5" i="4"/>
  <c r="D6" i="4"/>
  <c r="D6" i="7"/>
  <c r="D5" i="7"/>
  <c r="D3" i="7"/>
  <c r="D2" i="7"/>
  <c r="F35" i="4"/>
  <c r="F37" i="4"/>
  <c r="F38" i="4"/>
  <c r="F39" i="4"/>
  <c r="F39" i="7"/>
  <c r="F38" i="7"/>
  <c r="F37" i="7"/>
  <c r="F36" i="7"/>
  <c r="F35" i="7"/>
  <c r="F34" i="7"/>
  <c r="D35" i="4"/>
  <c r="D37" i="4"/>
  <c r="D38" i="4"/>
  <c r="D39" i="4"/>
  <c r="D39" i="7"/>
  <c r="D38" i="7"/>
  <c r="D37" i="7"/>
  <c r="D36" i="7"/>
  <c r="D35" i="7"/>
  <c r="D34" i="7"/>
  <c r="B5" i="4"/>
  <c r="B6" i="4"/>
  <c r="B35" i="4"/>
  <c r="B37" i="4"/>
  <c r="B38" i="4"/>
  <c r="B39" i="4"/>
  <c r="B39" i="7"/>
  <c r="B38" i="7"/>
  <c r="B37" i="7"/>
  <c r="B36" i="7"/>
  <c r="B35" i="7"/>
  <c r="B34" i="7"/>
  <c r="B25" i="7"/>
  <c r="B24" i="7"/>
  <c r="B23" i="7"/>
  <c r="B22" i="7"/>
  <c r="B21" i="7"/>
  <c r="B20" i="7"/>
  <c r="B18" i="7"/>
  <c r="B17" i="7"/>
  <c r="B16" i="7"/>
  <c r="B15" i="7"/>
  <c r="B14" i="7"/>
  <c r="B12" i="7"/>
  <c r="B11" i="7"/>
  <c r="B10" i="7"/>
  <c r="B9" i="7"/>
  <c r="B8" i="7"/>
  <c r="B6" i="7"/>
  <c r="B5" i="7"/>
  <c r="B3" i="7"/>
  <c r="B2" i="7"/>
  <c r="B32" i="7"/>
  <c r="F32" i="7"/>
  <c r="F41" i="7"/>
  <c r="F42" i="7"/>
  <c r="F44" i="7"/>
  <c r="D32" i="7"/>
  <c r="D41" i="7"/>
  <c r="D42" i="7"/>
  <c r="D44" i="7"/>
  <c r="B41" i="7"/>
  <c r="B42" i="7"/>
  <c r="B44" i="7"/>
  <c r="F32" i="6"/>
  <c r="F41" i="6"/>
  <c r="F42" i="6"/>
  <c r="F44" i="6"/>
  <c r="D32" i="6"/>
  <c r="D41" i="6"/>
  <c r="D42" i="6"/>
  <c r="D44" i="6"/>
  <c r="B32" i="6"/>
  <c r="B41" i="6"/>
  <c r="B42" i="6"/>
  <c r="B44" i="6"/>
  <c r="F32" i="4"/>
  <c r="F25" i="4"/>
  <c r="F34" i="4"/>
  <c r="F36" i="4"/>
  <c r="F3" i="4"/>
  <c r="F41" i="4"/>
  <c r="F42" i="4"/>
  <c r="F44" i="4"/>
  <c r="D32" i="4"/>
  <c r="D25" i="4"/>
  <c r="D34" i="4"/>
  <c r="D36" i="4"/>
  <c r="D2" i="4"/>
  <c r="D41" i="4"/>
  <c r="D42" i="4"/>
  <c r="D44" i="4"/>
  <c r="B32" i="4"/>
  <c r="B25" i="4"/>
  <c r="B34" i="4"/>
  <c r="B36" i="4"/>
  <c r="B41" i="4"/>
  <c r="B42" i="4"/>
  <c r="B44" i="4"/>
  <c r="B36" i="1"/>
  <c r="B41" i="1"/>
  <c r="D2" i="1"/>
  <c r="F32" i="1"/>
  <c r="F25" i="1"/>
  <c r="F34" i="1"/>
  <c r="F36" i="1"/>
  <c r="F41" i="1"/>
  <c r="F42" i="1"/>
  <c r="F44" i="1"/>
  <c r="D32" i="1"/>
  <c r="D25" i="1"/>
  <c r="D34" i="1"/>
  <c r="D36" i="1"/>
  <c r="D41" i="1"/>
  <c r="D42" i="1"/>
  <c r="D44" i="1"/>
  <c r="B32" i="1"/>
  <c r="B25" i="1"/>
  <c r="B34" i="1"/>
  <c r="B42" i="1"/>
  <c r="B44" i="1"/>
  <c r="E2" i="3"/>
  <c r="B4" i="3"/>
  <c r="B5" i="3"/>
  <c r="B6" i="3"/>
  <c r="B7" i="3"/>
  <c r="B8" i="3"/>
  <c r="B9" i="3"/>
  <c r="B10" i="3"/>
  <c r="B15" i="2"/>
  <c r="B13" i="2"/>
  <c r="B6" i="2"/>
  <c r="B7" i="2"/>
  <c r="B9" i="2"/>
  <c r="B16" i="2"/>
  <c r="B10" i="2"/>
</calcChain>
</file>

<file path=xl/sharedStrings.xml><?xml version="1.0" encoding="utf-8"?>
<sst xmlns="http://schemas.openxmlformats.org/spreadsheetml/2006/main" count="381" uniqueCount="70">
  <si>
    <t>Households with a child under 5 per village</t>
  </si>
  <si>
    <t># of children under 5 per household</t>
  </si>
  <si>
    <t>Under-5 children in treatment clusters</t>
  </si>
  <si>
    <t>Probability of dying before 5 (5q0)</t>
  </si>
  <si>
    <t>Fraction of the year lived by a child (a)</t>
  </si>
  <si>
    <t>Length of the age interval (n)</t>
  </si>
  <si>
    <t>beta</t>
  </si>
  <si>
    <t>alpha</t>
  </si>
  <si>
    <t>5M0</t>
  </si>
  <si>
    <t>implied 5q0 (check)</t>
  </si>
  <si>
    <t>Value</t>
  </si>
  <si>
    <t>Number of children under 5</t>
  </si>
  <si>
    <t>Deaths under 5</t>
  </si>
  <si>
    <t>Deaths under 5 based on 5q0 over 5 year period</t>
  </si>
  <si>
    <t>Deaths under 5 based on 5q0</t>
  </si>
  <si>
    <t>Baseline 5q0 (deaths per 1000 live births)</t>
  </si>
  <si>
    <t>Endline 5q0 (deaths per 1000 live births)</t>
  </si>
  <si>
    <t>Baseline deaths under 5</t>
  </si>
  <si>
    <t>Endline deaths under 5</t>
  </si>
  <si>
    <t>Deaths averted under 5 over 5 year period</t>
  </si>
  <si>
    <t>Deaths averted under 5 per year</t>
  </si>
  <si>
    <t>Deaths averted per CHP per year</t>
  </si>
  <si>
    <t>RCT</t>
  </si>
  <si>
    <t>World Bank</t>
  </si>
  <si>
    <t>Source</t>
  </si>
  <si>
    <t>Lives saved</t>
  </si>
  <si>
    <t>Cost per life saved</t>
  </si>
  <si>
    <t>Treatment villages</t>
  </si>
  <si>
    <t>Just LG branches (RCT)</t>
  </si>
  <si>
    <t># of CHPs covering the treatment villages</t>
  </si>
  <si>
    <t>Cost from 2015-2018</t>
  </si>
  <si>
    <t>Average from 2015-2018</t>
  </si>
  <si>
    <t>Year</t>
  </si>
  <si>
    <t>5q0</t>
  </si>
  <si>
    <t>Decline from 2011 to 2012</t>
  </si>
  <si>
    <t># of CHPs in 2015</t>
  </si>
  <si>
    <t># of CHPs in 2016</t>
  </si>
  <si>
    <t># of CHPs in 2017</t>
  </si>
  <si>
    <t># of CHPs in 2018</t>
  </si>
  <si>
    <t>"Agents", Living Goods Plan 2015, Budget</t>
  </si>
  <si>
    <t># of CHP-Years 2015-2018</t>
  </si>
  <si>
    <t>Cost in 2015</t>
  </si>
  <si>
    <t>Cost in 2016</t>
  </si>
  <si>
    <t>Cost in 2017</t>
  </si>
  <si>
    <t>Cost in 2018</t>
  </si>
  <si>
    <t>"Funding Need", Living Goods Plan 2015</t>
  </si>
  <si>
    <t># of CHPs in 2014</t>
  </si>
  <si>
    <t>Cost in 2014</t>
  </si>
  <si>
    <t>Include 2014</t>
  </si>
  <si>
    <t>Include 2015</t>
  </si>
  <si>
    <t>Include 2016</t>
  </si>
  <si>
    <t>Include 2017</t>
  </si>
  <si>
    <t>Include 2018</t>
  </si>
  <si>
    <t>Base case</t>
  </si>
  <si>
    <t>Pessimistic</t>
  </si>
  <si>
    <t>Mortality reduction in the RCT</t>
  </si>
  <si>
    <t>Mortality reduction adjusted for contamination</t>
  </si>
  <si>
    <t>Replicability adjustment</t>
  </si>
  <si>
    <t>Mortality reduction adjusted for contamination and replicability</t>
  </si>
  <si>
    <t>RCT: % of households visited by a control group / % of households visited by a treatment group</t>
  </si>
  <si>
    <t>% of households with children under 5 visited by a CHP in the control group /  % of households with children under 5 visited by a CHP in the treatment group</t>
  </si>
  <si>
    <t>Last observed mortality rate</t>
  </si>
  <si>
    <t>Average assuming decline from 2011 to 2012 projected forward for 2014-2016: 51. See "Mortality decline" tab</t>
  </si>
  <si>
    <t>Average assuming decline from 2011 to 2012 projected forward to 2014: 51. See "Mortality decline" tab</t>
  </si>
  <si>
    <t xml:space="preserve">This adjustment yields the lower bound implied by statistical significance at 5% </t>
  </si>
  <si>
    <t>"Funding Need", Living Goods budget (2015-2018)</t>
  </si>
  <si>
    <t>"Agents", Living Goods budget (2015-2018)</t>
  </si>
  <si>
    <t>RCT: % of households visited by a control group / % of households visited by a treatment group. Unpublished source.</t>
  </si>
  <si>
    <t>Optimistic</t>
  </si>
  <si>
    <t>"Funding Need", sum of "Living Goods Uganda" and "BRAC Uganda", Living Goods budget (2015-2018)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</si>
</sst>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"/>
    <numFmt numFmtId="167" formatCode="0.0"/>
    <numFmt numFmtId="168" formatCode="_(&quot;$&quot;* #,##0_);_(&quot;$&quot;* \(#,##0\);_(&quot;$&quot;* &quot;-&quot;??_);_(@_)"/>
    <numFmt numFmtId="169" formatCode="_(* #,##0_);_(* \(#,##0\);_(* &quot;-&quot;??_);_(@_)"/>
    <numFmt numFmtId="170" formatCode="0.000000000000000%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98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2" borderId="1" applyNumberFormat="0" applyAlignment="0" applyProtection="0"/>
    <xf numFmtId="0" fontId="5" fillId="3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166" fontId="0" fillId="0" borderId="0" xfId="0" applyNumberFormat="1"/>
    <xf numFmtId="9" fontId="0" fillId="0" borderId="0" xfId="2" applyFont="1"/>
    <xf numFmtId="2" fontId="0" fillId="0" borderId="0" xfId="0" applyNumberFormat="1"/>
    <xf numFmtId="0" fontId="0" fillId="0" borderId="0" xfId="0" applyFont="1"/>
    <xf numFmtId="167" fontId="0" fillId="0" borderId="0" xfId="0" applyNumberFormat="1" applyFont="1"/>
    <xf numFmtId="1" fontId="0" fillId="0" borderId="0" xfId="0" applyNumberFormat="1" applyFont="1"/>
    <xf numFmtId="1" fontId="0" fillId="0" borderId="0" xfId="0" applyNumberFormat="1"/>
    <xf numFmtId="169" fontId="0" fillId="0" borderId="0" xfId="1" applyNumberFormat="1" applyFont="1"/>
    <xf numFmtId="0" fontId="4" fillId="2" borderId="1" xfId="3"/>
    <xf numFmtId="9" fontId="4" fillId="2" borderId="1" xfId="3" applyNumberFormat="1"/>
    <xf numFmtId="168" fontId="5" fillId="3" borderId="2" xfId="4" applyNumberFormat="1"/>
    <xf numFmtId="3" fontId="4" fillId="2" borderId="1" xfId="3" applyNumberFormat="1"/>
    <xf numFmtId="3" fontId="0" fillId="0" borderId="0" xfId="0" applyNumberFormat="1"/>
    <xf numFmtId="168" fontId="0" fillId="0" borderId="0" xfId="0" applyNumberFormat="1"/>
    <xf numFmtId="168" fontId="0" fillId="0" borderId="0" xfId="209" applyNumberFormat="1" applyFont="1"/>
    <xf numFmtId="9" fontId="0" fillId="0" borderId="0" xfId="0" applyNumberFormat="1"/>
    <xf numFmtId="2" fontId="4" fillId="2" borderId="1" xfId="3" applyNumberFormat="1"/>
    <xf numFmtId="170" fontId="0" fillId="0" borderId="0" xfId="0" applyNumberFormat="1"/>
    <xf numFmtId="169" fontId="0" fillId="0" borderId="0" xfId="274" applyNumberFormat="1" applyFont="1"/>
    <xf numFmtId="168" fontId="0" fillId="0" borderId="0" xfId="275" applyNumberFormat="1" applyFont="1"/>
  </cellXfs>
  <cellStyles count="298">
    <cellStyle name="Comma" xfId="1" builtinId="3"/>
    <cellStyle name="Comma 2" xfId="274"/>
    <cellStyle name="Currency" xfId="209" builtinId="4"/>
    <cellStyle name="Currency 2" xfId="275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Input" xfId="3" builtinId="20"/>
    <cellStyle name="Normal" xfId="0" builtinId="0"/>
    <cellStyle name="Output" xfId="4" builtinId="21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/>
  </sheetViews>
  <sheetFormatPr baseColWidth="10" defaultRowHeight="15" x14ac:dyDescent="0"/>
  <cols>
    <col min="1" max="1" width="88.6640625" bestFit="1" customWidth="1"/>
    <col min="2" max="2" width="14.1640625" bestFit="1" customWidth="1"/>
    <col min="3" max="3" width="13.33203125" customWidth="1"/>
    <col min="4" max="4" width="20.6640625" bestFit="1" customWidth="1"/>
    <col min="5" max="5" width="14.6640625" customWidth="1"/>
    <col min="6" max="6" width="12.5" bestFit="1" customWidth="1"/>
    <col min="8" max="8" width="12.5" bestFit="1" customWidth="1"/>
  </cols>
  <sheetData>
    <row r="1" spans="1:7">
      <c r="B1" t="s">
        <v>53</v>
      </c>
      <c r="C1" t="s">
        <v>24</v>
      </c>
      <c r="D1" t="s">
        <v>68</v>
      </c>
      <c r="E1" t="s">
        <v>24</v>
      </c>
      <c r="F1" t="s">
        <v>54</v>
      </c>
      <c r="G1" t="s">
        <v>24</v>
      </c>
    </row>
    <row r="2" spans="1:7">
      <c r="A2" t="s">
        <v>60</v>
      </c>
      <c r="B2" s="17">
        <v>0.31</v>
      </c>
      <c r="C2" t="s">
        <v>67</v>
      </c>
      <c r="D2" s="17">
        <f>11%/36%</f>
        <v>0.30555555555555558</v>
      </c>
      <c r="E2" t="s">
        <v>67</v>
      </c>
      <c r="F2" s="17">
        <v>0.31</v>
      </c>
      <c r="G2" t="s">
        <v>67</v>
      </c>
    </row>
    <row r="3" spans="1:7">
      <c r="A3" t="s">
        <v>57</v>
      </c>
      <c r="B3" s="10">
        <v>0.4</v>
      </c>
      <c r="C3" s="18"/>
      <c r="D3" s="10">
        <v>1</v>
      </c>
      <c r="F3" s="10">
        <f>6%/26%</f>
        <v>0.23076923076923075</v>
      </c>
      <c r="G3" s="18" t="s">
        <v>64</v>
      </c>
    </row>
    <row r="4" spans="1:7">
      <c r="A4" t="s">
        <v>55</v>
      </c>
      <c r="B4" s="16">
        <v>0.25</v>
      </c>
      <c r="D4" s="16">
        <v>0.25</v>
      </c>
      <c r="F4" s="16">
        <v>0.25</v>
      </c>
    </row>
    <row r="5" spans="1:7">
      <c r="A5" t="s">
        <v>56</v>
      </c>
      <c r="B5" s="16">
        <f>(1/(1-B2))*B4</f>
        <v>0.3623188405797102</v>
      </c>
      <c r="D5" s="16">
        <f>(1/(1-D2))*D4</f>
        <v>0.36</v>
      </c>
      <c r="F5" s="16">
        <f>(1/(1-F2))*F4</f>
        <v>0.3623188405797102</v>
      </c>
    </row>
    <row r="6" spans="1:7">
      <c r="A6" t="s">
        <v>58</v>
      </c>
      <c r="B6" s="16">
        <f>B5*B3</f>
        <v>0.14492753623188409</v>
      </c>
      <c r="D6" s="16">
        <f>D5*D3</f>
        <v>0.36</v>
      </c>
      <c r="F6" s="16">
        <f>F5*F3</f>
        <v>8.3612040133779278E-2</v>
      </c>
    </row>
    <row r="8" spans="1:7">
      <c r="A8" t="s">
        <v>27</v>
      </c>
      <c r="B8" s="9">
        <v>62</v>
      </c>
      <c r="C8" t="s">
        <v>28</v>
      </c>
      <c r="D8" s="9">
        <v>62</v>
      </c>
      <c r="E8" t="s">
        <v>28</v>
      </c>
      <c r="F8" s="9">
        <v>62</v>
      </c>
      <c r="G8" t="s">
        <v>28</v>
      </c>
    </row>
    <row r="9" spans="1:7">
      <c r="A9" t="s">
        <v>0</v>
      </c>
      <c r="B9" s="9">
        <v>95</v>
      </c>
      <c r="C9" t="s">
        <v>28</v>
      </c>
      <c r="D9" s="9">
        <v>95</v>
      </c>
      <c r="E9" t="s">
        <v>28</v>
      </c>
      <c r="F9" s="9">
        <v>95</v>
      </c>
      <c r="G9" t="s">
        <v>28</v>
      </c>
    </row>
    <row r="10" spans="1:7">
      <c r="A10" t="s">
        <v>1</v>
      </c>
      <c r="B10" s="9">
        <v>1.6</v>
      </c>
      <c r="C10" t="s">
        <v>22</v>
      </c>
      <c r="D10" s="9">
        <v>1.6</v>
      </c>
      <c r="E10" t="s">
        <v>22</v>
      </c>
      <c r="F10" s="9">
        <v>1.6</v>
      </c>
      <c r="G10" t="s">
        <v>22</v>
      </c>
    </row>
    <row r="11" spans="1:7">
      <c r="A11" t="s">
        <v>15</v>
      </c>
      <c r="B11" s="9">
        <v>56</v>
      </c>
      <c r="C11" t="s">
        <v>62</v>
      </c>
      <c r="D11" s="9">
        <v>69</v>
      </c>
      <c r="E11" t="s">
        <v>61</v>
      </c>
      <c r="F11" s="9">
        <v>60</v>
      </c>
      <c r="G11" t="s">
        <v>63</v>
      </c>
    </row>
    <row r="12" spans="1:7">
      <c r="A12" t="s">
        <v>29</v>
      </c>
      <c r="B12" s="9">
        <v>95</v>
      </c>
      <c r="C12" t="s">
        <v>28</v>
      </c>
      <c r="D12" s="9">
        <v>95</v>
      </c>
      <c r="E12" t="s">
        <v>28</v>
      </c>
      <c r="F12" s="9">
        <v>95</v>
      </c>
      <c r="G12" t="s">
        <v>28</v>
      </c>
    </row>
    <row r="14" spans="1:7">
      <c r="A14" t="s">
        <v>48</v>
      </c>
      <c r="B14" s="12">
        <v>1</v>
      </c>
      <c r="D14" s="12">
        <v>1</v>
      </c>
      <c r="F14" s="12">
        <v>1</v>
      </c>
    </row>
    <row r="15" spans="1:7">
      <c r="A15" t="s">
        <v>49</v>
      </c>
      <c r="B15" s="12">
        <v>1</v>
      </c>
      <c r="D15" s="12">
        <v>1</v>
      </c>
      <c r="F15" s="12">
        <v>0</v>
      </c>
    </row>
    <row r="16" spans="1:7">
      <c r="A16" t="s">
        <v>50</v>
      </c>
      <c r="B16" s="12">
        <v>1</v>
      </c>
      <c r="D16" s="12">
        <v>1</v>
      </c>
      <c r="F16" s="12">
        <v>0</v>
      </c>
    </row>
    <row r="17" spans="1:7">
      <c r="A17" t="s">
        <v>51</v>
      </c>
      <c r="B17" s="12">
        <v>0</v>
      </c>
      <c r="D17" s="12">
        <v>1</v>
      </c>
      <c r="F17" s="12">
        <v>0</v>
      </c>
    </row>
    <row r="18" spans="1:7">
      <c r="A18" t="s">
        <v>52</v>
      </c>
      <c r="B18" s="12">
        <v>0</v>
      </c>
      <c r="D18" s="12">
        <v>1</v>
      </c>
      <c r="F18" s="12">
        <v>0</v>
      </c>
    </row>
    <row r="20" spans="1:7">
      <c r="A20" t="s">
        <v>46</v>
      </c>
      <c r="B20" s="19">
        <v>1380</v>
      </c>
      <c r="C20" t="s">
        <v>66</v>
      </c>
      <c r="D20" s="19">
        <v>1380</v>
      </c>
      <c r="E20" t="s">
        <v>66</v>
      </c>
      <c r="F20" s="19">
        <v>1380</v>
      </c>
      <c r="G20" t="s">
        <v>66</v>
      </c>
    </row>
    <row r="21" spans="1:7">
      <c r="A21" t="s">
        <v>35</v>
      </c>
      <c r="B21" s="19">
        <v>4166</v>
      </c>
      <c r="C21" t="s">
        <v>66</v>
      </c>
      <c r="D21" s="19">
        <v>4166</v>
      </c>
      <c r="E21" t="s">
        <v>66</v>
      </c>
      <c r="F21" s="19">
        <v>4166</v>
      </c>
      <c r="G21" t="s">
        <v>66</v>
      </c>
    </row>
    <row r="22" spans="1:7">
      <c r="A22" t="s">
        <v>36</v>
      </c>
      <c r="B22" s="19">
        <v>5614</v>
      </c>
      <c r="C22" t="s">
        <v>66</v>
      </c>
      <c r="D22" s="19">
        <v>5614</v>
      </c>
      <c r="E22" t="s">
        <v>66</v>
      </c>
      <c r="F22" s="19">
        <v>5614</v>
      </c>
      <c r="G22" t="s">
        <v>66</v>
      </c>
    </row>
    <row r="23" spans="1:7">
      <c r="A23" t="s">
        <v>37</v>
      </c>
      <c r="B23" s="19">
        <v>6171</v>
      </c>
      <c r="C23" t="s">
        <v>66</v>
      </c>
      <c r="D23" s="19">
        <v>6171</v>
      </c>
      <c r="E23" t="s">
        <v>66</v>
      </c>
      <c r="F23" s="19">
        <v>6171</v>
      </c>
      <c r="G23" t="s">
        <v>66</v>
      </c>
    </row>
    <row r="24" spans="1:7">
      <c r="A24" t="s">
        <v>38</v>
      </c>
      <c r="B24" s="19">
        <v>6615</v>
      </c>
      <c r="C24" t="s">
        <v>66</v>
      </c>
      <c r="D24" s="19">
        <v>6615</v>
      </c>
      <c r="E24" t="s">
        <v>66</v>
      </c>
      <c r="F24" s="19">
        <v>6615</v>
      </c>
      <c r="G24" t="s">
        <v>66</v>
      </c>
    </row>
    <row r="25" spans="1:7">
      <c r="A25" t="s">
        <v>40</v>
      </c>
      <c r="B25" s="13">
        <f>SUMPRODUCT(B14:B18,B20:B24)</f>
        <v>11160</v>
      </c>
      <c r="D25" s="13">
        <f>SUMPRODUCT(D14:D18,D20:D24)</f>
        <v>23946</v>
      </c>
      <c r="F25" s="13">
        <f>SUMPRODUCT(F14:F18,F20:F24)</f>
        <v>1380</v>
      </c>
    </row>
    <row r="26" spans="1:7">
      <c r="B26" s="13"/>
      <c r="D26" s="13"/>
      <c r="F26" s="13"/>
    </row>
    <row r="27" spans="1:7">
      <c r="A27" t="s">
        <v>47</v>
      </c>
      <c r="B27" s="20">
        <v>3937182.0275521101</v>
      </c>
      <c r="C27" t="s">
        <v>65</v>
      </c>
      <c r="D27" s="20">
        <v>3937182.0275521111</v>
      </c>
      <c r="E27" t="s">
        <v>65</v>
      </c>
      <c r="F27" s="20">
        <v>3937182.0275521111</v>
      </c>
      <c r="G27" t="s">
        <v>65</v>
      </c>
    </row>
    <row r="28" spans="1:7">
      <c r="A28" t="s">
        <v>41</v>
      </c>
      <c r="B28" s="20">
        <v>9306707.6871481277</v>
      </c>
      <c r="C28" t="s">
        <v>65</v>
      </c>
      <c r="D28" s="20">
        <v>9306707.6871481277</v>
      </c>
      <c r="E28" t="s">
        <v>65</v>
      </c>
      <c r="F28" s="20">
        <v>9306707.6871481277</v>
      </c>
      <c r="G28" t="s">
        <v>65</v>
      </c>
    </row>
    <row r="29" spans="1:7">
      <c r="A29" t="s">
        <v>42</v>
      </c>
      <c r="B29" s="20">
        <v>8566114.3093360718</v>
      </c>
      <c r="C29" t="s">
        <v>65</v>
      </c>
      <c r="D29" s="20">
        <v>8566114.3093360718</v>
      </c>
      <c r="E29" t="s">
        <v>65</v>
      </c>
      <c r="F29" s="20">
        <v>8566114.3093360718</v>
      </c>
      <c r="G29" t="s">
        <v>65</v>
      </c>
    </row>
    <row r="30" spans="1:7">
      <c r="A30" t="s">
        <v>43</v>
      </c>
      <c r="B30" s="20">
        <v>8834904.7425339613</v>
      </c>
      <c r="C30" t="s">
        <v>65</v>
      </c>
      <c r="D30" s="20">
        <v>8834904.7425339613</v>
      </c>
      <c r="E30" t="s">
        <v>65</v>
      </c>
      <c r="F30" s="20">
        <v>8834904.7425339613</v>
      </c>
      <c r="G30" t="s">
        <v>65</v>
      </c>
    </row>
    <row r="31" spans="1:7">
      <c r="A31" t="s">
        <v>44</v>
      </c>
      <c r="B31" s="20">
        <v>9017403.5270512309</v>
      </c>
      <c r="C31" t="s">
        <v>65</v>
      </c>
      <c r="D31" s="20">
        <v>9017403.5270512309</v>
      </c>
      <c r="E31" t="s">
        <v>65</v>
      </c>
      <c r="F31" s="20">
        <v>9017403.5270512309</v>
      </c>
      <c r="G31" t="s">
        <v>65</v>
      </c>
    </row>
    <row r="32" spans="1:7">
      <c r="A32" t="s">
        <v>30</v>
      </c>
      <c r="B32" s="14">
        <f>SUMPRODUCT(B14:B18,B27:B31)</f>
        <v>21810004.024036311</v>
      </c>
      <c r="D32" s="14">
        <f>SUMPRODUCT(D14:D18,D27:D31)</f>
        <v>39662312.293621503</v>
      </c>
      <c r="F32" s="14">
        <f>SUMPRODUCT(F14:F18,F27:F31)</f>
        <v>3937182.0275521111</v>
      </c>
    </row>
    <row r="34" spans="1:6">
      <c r="A34" s="4" t="s">
        <v>2</v>
      </c>
      <c r="B34" s="19">
        <f>B8*B9*B10</f>
        <v>9424</v>
      </c>
      <c r="D34" s="19">
        <f>D8*D9*D10</f>
        <v>9424</v>
      </c>
      <c r="F34" s="19">
        <f>F8*F9*F10</f>
        <v>9424</v>
      </c>
    </row>
    <row r="35" spans="1:6">
      <c r="A35" s="4" t="s">
        <v>16</v>
      </c>
      <c r="B35" s="5">
        <f>(1-B6)*B11</f>
        <v>47.884057971014492</v>
      </c>
      <c r="D35" s="5">
        <f>(1-D6)*D11</f>
        <v>44.160000000000004</v>
      </c>
      <c r="F35" s="5">
        <f>(1-F6)*F11</f>
        <v>54.983277591973241</v>
      </c>
    </row>
    <row r="36" spans="1:6">
      <c r="A36" s="4" t="s">
        <v>17</v>
      </c>
      <c r="B36" s="6">
        <f>((B11/1000)*B34)</f>
        <v>527.74400000000003</v>
      </c>
      <c r="D36" s="6">
        <f>((D11/1000)*D34)</f>
        <v>650.25600000000009</v>
      </c>
      <c r="F36" s="6">
        <f>((F11/1000)*F34)</f>
        <v>565.43999999999994</v>
      </c>
    </row>
    <row r="37" spans="1:6">
      <c r="A37" s="4" t="s">
        <v>18</v>
      </c>
      <c r="B37" s="6">
        <f>((B35/1000)*B34)</f>
        <v>451.25936231884054</v>
      </c>
      <c r="D37" s="6">
        <f>((D35/1000)*D34)</f>
        <v>416.16384000000005</v>
      </c>
      <c r="F37" s="6">
        <f>((F35/1000)*F34)</f>
        <v>518.16240802675577</v>
      </c>
    </row>
    <row r="38" spans="1:6">
      <c r="A38" s="4" t="s">
        <v>19</v>
      </c>
      <c r="B38" s="6">
        <f>B36-B37</f>
        <v>76.484637681159484</v>
      </c>
      <c r="D38" s="6">
        <f>D36-D37</f>
        <v>234.09216000000004</v>
      </c>
      <c r="F38" s="6">
        <f>F36-F37</f>
        <v>47.277591973244171</v>
      </c>
    </row>
    <row r="39" spans="1:6">
      <c r="A39" s="4" t="s">
        <v>20</v>
      </c>
      <c r="B39" s="6">
        <f>B38/5</f>
        <v>15.296927536231896</v>
      </c>
      <c r="D39" s="6">
        <f>D38/5</f>
        <v>46.818432000000008</v>
      </c>
      <c r="F39" s="6">
        <f>F38/5</f>
        <v>9.4555183946488341</v>
      </c>
    </row>
    <row r="40" spans="1:6">
      <c r="A40" s="4"/>
      <c r="B40" s="6"/>
      <c r="D40" s="6"/>
      <c r="F40" s="6"/>
    </row>
    <row r="41" spans="1:6">
      <c r="A41" t="s">
        <v>21</v>
      </c>
      <c r="B41" s="3">
        <f>B39/B12</f>
        <v>0.16102028985507261</v>
      </c>
      <c r="D41" s="3">
        <f>D39/D12</f>
        <v>0.49282560000000009</v>
      </c>
      <c r="F41" s="3">
        <f>F39/F12</f>
        <v>9.9531772575250879E-2</v>
      </c>
    </row>
    <row r="42" spans="1:6">
      <c r="A42" t="s">
        <v>25</v>
      </c>
      <c r="B42" s="7">
        <f>B25*B41</f>
        <v>1796.9864347826103</v>
      </c>
      <c r="D42" s="7">
        <f>D25*D41</f>
        <v>11801.201817600002</v>
      </c>
      <c r="F42" s="7">
        <f>F25*F41</f>
        <v>137.35384615384621</v>
      </c>
    </row>
    <row r="44" spans="1:6">
      <c r="A44" t="s">
        <v>26</v>
      </c>
      <c r="B44" s="11">
        <f>B32/B42</f>
        <v>12136.988683876607</v>
      </c>
      <c r="D44" s="11">
        <f>D32/D42</f>
        <v>3360.870605099743</v>
      </c>
      <c r="F44" s="11">
        <f>F32/F42</f>
        <v>28664.519689839508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6" workbookViewId="0">
      <selection activeCell="D5" sqref="D5"/>
    </sheetView>
  </sheetViews>
  <sheetFormatPr baseColWidth="10" defaultRowHeight="15" x14ac:dyDescent="0"/>
  <cols>
    <col min="1" max="1" width="88.6640625" bestFit="1" customWidth="1"/>
    <col min="2" max="2" width="14.1640625" bestFit="1" customWidth="1"/>
    <col min="3" max="3" width="13.33203125" customWidth="1"/>
    <col min="4" max="4" width="20.6640625" bestFit="1" customWidth="1"/>
    <col min="5" max="5" width="14.6640625" customWidth="1"/>
    <col min="6" max="6" width="12.5" bestFit="1" customWidth="1"/>
    <col min="8" max="8" width="12.5" bestFit="1" customWidth="1"/>
  </cols>
  <sheetData>
    <row r="1" spans="1:7">
      <c r="B1" t="s">
        <v>53</v>
      </c>
      <c r="C1" t="s">
        <v>24</v>
      </c>
      <c r="D1" t="s">
        <v>68</v>
      </c>
      <c r="E1" t="s">
        <v>24</v>
      </c>
      <c r="F1" t="s">
        <v>54</v>
      </c>
      <c r="G1" t="s">
        <v>24</v>
      </c>
    </row>
    <row r="2" spans="1:7">
      <c r="A2" t="s">
        <v>60</v>
      </c>
      <c r="B2" s="17">
        <v>0</v>
      </c>
      <c r="C2" t="s">
        <v>59</v>
      </c>
      <c r="D2" s="17">
        <f>11%/36%</f>
        <v>0.30555555555555558</v>
      </c>
      <c r="E2" t="s">
        <v>59</v>
      </c>
      <c r="F2" s="17">
        <v>0</v>
      </c>
      <c r="G2" t="s">
        <v>59</v>
      </c>
    </row>
    <row r="3" spans="1:7">
      <c r="A3" t="s">
        <v>57</v>
      </c>
      <c r="B3" s="10">
        <v>0.65</v>
      </c>
      <c r="C3" s="18"/>
      <c r="D3" s="10">
        <v>1</v>
      </c>
      <c r="F3" s="10">
        <v>0.33</v>
      </c>
      <c r="G3" s="18"/>
    </row>
    <row r="4" spans="1:7">
      <c r="A4" t="s">
        <v>55</v>
      </c>
      <c r="B4" s="16">
        <v>0.25</v>
      </c>
      <c r="D4" s="16">
        <v>0.25</v>
      </c>
      <c r="F4" s="16">
        <v>0.25</v>
      </c>
    </row>
    <row r="5" spans="1:7">
      <c r="A5" t="s">
        <v>56</v>
      </c>
      <c r="B5" s="16">
        <f>(1/(1-B2))*B4</f>
        <v>0.25</v>
      </c>
      <c r="D5" s="16">
        <f>(1/(1-D2))*D4</f>
        <v>0.36</v>
      </c>
      <c r="F5" s="16">
        <f>(1/(1-F2))*F4</f>
        <v>0.25</v>
      </c>
    </row>
    <row r="6" spans="1:7">
      <c r="A6" t="s">
        <v>58</v>
      </c>
      <c r="B6" s="16">
        <f>B5*B3</f>
        <v>0.16250000000000001</v>
      </c>
      <c r="D6" s="16">
        <f>D5*D3</f>
        <v>0.36</v>
      </c>
      <c r="F6" s="16">
        <f>F5*F3</f>
        <v>8.2500000000000004E-2</v>
      </c>
    </row>
    <row r="8" spans="1:7">
      <c r="A8" t="s">
        <v>27</v>
      </c>
      <c r="B8" s="9">
        <v>62</v>
      </c>
      <c r="C8" t="s">
        <v>28</v>
      </c>
      <c r="D8" s="9">
        <v>62</v>
      </c>
      <c r="E8" t="s">
        <v>28</v>
      </c>
      <c r="F8" s="9">
        <v>62</v>
      </c>
      <c r="G8" t="s">
        <v>28</v>
      </c>
    </row>
    <row r="9" spans="1:7">
      <c r="A9" t="s">
        <v>0</v>
      </c>
      <c r="B9" s="9">
        <v>95</v>
      </c>
      <c r="C9" t="s">
        <v>28</v>
      </c>
      <c r="D9" s="9">
        <v>95</v>
      </c>
      <c r="E9" t="s">
        <v>28</v>
      </c>
      <c r="F9" s="9">
        <v>95</v>
      </c>
      <c r="G9" t="s">
        <v>28</v>
      </c>
    </row>
    <row r="10" spans="1:7">
      <c r="A10" t="s">
        <v>1</v>
      </c>
      <c r="B10" s="9">
        <v>1.6</v>
      </c>
      <c r="C10" t="s">
        <v>22</v>
      </c>
      <c r="D10" s="9">
        <v>1.6</v>
      </c>
      <c r="E10" t="s">
        <v>22</v>
      </c>
      <c r="F10" s="9">
        <v>1.6</v>
      </c>
      <c r="G10" t="s">
        <v>22</v>
      </c>
    </row>
    <row r="11" spans="1:7">
      <c r="A11" t="s">
        <v>15</v>
      </c>
      <c r="B11" s="9">
        <v>56</v>
      </c>
      <c r="C11" t="s">
        <v>62</v>
      </c>
      <c r="D11" s="9">
        <v>69</v>
      </c>
      <c r="E11" t="s">
        <v>61</v>
      </c>
      <c r="F11" s="9">
        <v>60</v>
      </c>
      <c r="G11" t="s">
        <v>63</v>
      </c>
    </row>
    <row r="12" spans="1:7">
      <c r="A12" t="s">
        <v>29</v>
      </c>
      <c r="B12" s="9">
        <v>95</v>
      </c>
      <c r="C12" t="s">
        <v>28</v>
      </c>
      <c r="D12" s="9">
        <v>95</v>
      </c>
      <c r="E12" t="s">
        <v>28</v>
      </c>
      <c r="F12" s="9">
        <v>95</v>
      </c>
      <c r="G12" t="s">
        <v>28</v>
      </c>
    </row>
    <row r="14" spans="1:7">
      <c r="A14" t="s">
        <v>48</v>
      </c>
      <c r="B14" s="12">
        <v>1</v>
      </c>
      <c r="D14" s="12">
        <v>1</v>
      </c>
      <c r="F14" s="12">
        <v>1</v>
      </c>
    </row>
    <row r="15" spans="1:7">
      <c r="A15" t="s">
        <v>49</v>
      </c>
      <c r="B15" s="12">
        <v>1</v>
      </c>
      <c r="D15" s="12">
        <v>1</v>
      </c>
      <c r="F15" s="12">
        <v>0</v>
      </c>
    </row>
    <row r="16" spans="1:7">
      <c r="A16" t="s">
        <v>50</v>
      </c>
      <c r="B16" s="12">
        <v>1</v>
      </c>
      <c r="D16" s="12">
        <v>1</v>
      </c>
      <c r="F16" s="12">
        <v>0</v>
      </c>
    </row>
    <row r="17" spans="1:7">
      <c r="A17" t="s">
        <v>51</v>
      </c>
      <c r="B17" s="12">
        <v>0</v>
      </c>
      <c r="D17" s="12">
        <v>1</v>
      </c>
      <c r="F17" s="12">
        <v>0</v>
      </c>
    </row>
    <row r="18" spans="1:7">
      <c r="A18" t="s">
        <v>52</v>
      </c>
      <c r="B18" s="12">
        <v>0</v>
      </c>
      <c r="D18" s="12">
        <v>1</v>
      </c>
      <c r="F18" s="12">
        <v>0</v>
      </c>
    </row>
    <row r="20" spans="1:7">
      <c r="A20" t="s">
        <v>46</v>
      </c>
      <c r="B20" s="8">
        <v>1380</v>
      </c>
      <c r="C20" t="s">
        <v>39</v>
      </c>
      <c r="D20" s="8">
        <v>1380</v>
      </c>
      <c r="E20" t="s">
        <v>39</v>
      </c>
      <c r="F20" s="8">
        <v>1380</v>
      </c>
      <c r="G20" t="s">
        <v>39</v>
      </c>
    </row>
    <row r="21" spans="1:7">
      <c r="A21" t="s">
        <v>35</v>
      </c>
      <c r="B21" s="8">
        <v>4166</v>
      </c>
      <c r="C21" t="s">
        <v>39</v>
      </c>
      <c r="D21" s="8">
        <v>4166</v>
      </c>
      <c r="E21" t="s">
        <v>39</v>
      </c>
      <c r="F21" s="8">
        <v>4166</v>
      </c>
      <c r="G21" t="s">
        <v>39</v>
      </c>
    </row>
    <row r="22" spans="1:7">
      <c r="A22" t="s">
        <v>36</v>
      </c>
      <c r="B22" s="8">
        <v>5614</v>
      </c>
      <c r="C22" t="s">
        <v>39</v>
      </c>
      <c r="D22" s="8">
        <v>5614</v>
      </c>
      <c r="E22" t="s">
        <v>39</v>
      </c>
      <c r="F22" s="8">
        <v>5614</v>
      </c>
      <c r="G22" t="s">
        <v>39</v>
      </c>
    </row>
    <row r="23" spans="1:7">
      <c r="A23" t="s">
        <v>37</v>
      </c>
      <c r="B23" s="8">
        <v>6171</v>
      </c>
      <c r="C23" t="s">
        <v>39</v>
      </c>
      <c r="D23" s="8">
        <v>6171</v>
      </c>
      <c r="E23" t="s">
        <v>39</v>
      </c>
      <c r="F23" s="8">
        <v>6171</v>
      </c>
      <c r="G23" t="s">
        <v>39</v>
      </c>
    </row>
    <row r="24" spans="1:7">
      <c r="A24" t="s">
        <v>38</v>
      </c>
      <c r="B24" s="8">
        <v>6615</v>
      </c>
      <c r="C24" t="s">
        <v>39</v>
      </c>
      <c r="D24" s="8">
        <v>6615</v>
      </c>
      <c r="E24" t="s">
        <v>39</v>
      </c>
      <c r="F24" s="8">
        <v>6615</v>
      </c>
      <c r="G24" t="s">
        <v>39</v>
      </c>
    </row>
    <row r="25" spans="1:7">
      <c r="A25" t="s">
        <v>40</v>
      </c>
      <c r="B25" s="13">
        <f>SUMPRODUCT(B14:B18,B20:B24)</f>
        <v>11160</v>
      </c>
      <c r="D25" s="13">
        <f>SUMPRODUCT(D14:D18,D20:D24)</f>
        <v>23946</v>
      </c>
      <c r="F25" s="13">
        <f>SUMPRODUCT(F14:F18,F20:F24)</f>
        <v>1380</v>
      </c>
    </row>
    <row r="26" spans="1:7">
      <c r="B26" s="13"/>
      <c r="D26" s="13"/>
      <c r="F26" s="13"/>
    </row>
    <row r="27" spans="1:7">
      <c r="A27" t="s">
        <v>47</v>
      </c>
      <c r="B27" s="15">
        <v>3937182.0275521101</v>
      </c>
      <c r="C27" t="s">
        <v>45</v>
      </c>
      <c r="D27" s="15">
        <v>3937182.0275521111</v>
      </c>
      <c r="E27" t="s">
        <v>45</v>
      </c>
      <c r="F27" s="15">
        <v>3937182.0275521111</v>
      </c>
      <c r="G27" t="s">
        <v>45</v>
      </c>
    </row>
    <row r="28" spans="1:7">
      <c r="A28" t="s">
        <v>41</v>
      </c>
      <c r="B28" s="15">
        <v>9306707.6871481277</v>
      </c>
      <c r="C28" t="s">
        <v>45</v>
      </c>
      <c r="D28" s="15">
        <v>9306707.6871481277</v>
      </c>
      <c r="E28" t="s">
        <v>45</v>
      </c>
      <c r="F28" s="15">
        <v>9306707.6871481277</v>
      </c>
      <c r="G28" t="s">
        <v>45</v>
      </c>
    </row>
    <row r="29" spans="1:7">
      <c r="A29" t="s">
        <v>42</v>
      </c>
      <c r="B29" s="15">
        <v>8566114.3093360718</v>
      </c>
      <c r="C29" t="s">
        <v>45</v>
      </c>
      <c r="D29" s="15">
        <v>8566114.3093360718</v>
      </c>
      <c r="E29" t="s">
        <v>45</v>
      </c>
      <c r="F29" s="15">
        <v>8566114.3093360718</v>
      </c>
      <c r="G29" t="s">
        <v>45</v>
      </c>
    </row>
    <row r="30" spans="1:7">
      <c r="A30" t="s">
        <v>43</v>
      </c>
      <c r="B30" s="15">
        <v>8834904.7425339613</v>
      </c>
      <c r="C30" t="s">
        <v>45</v>
      </c>
      <c r="D30" s="15">
        <v>8834904.7425339613</v>
      </c>
      <c r="E30" t="s">
        <v>45</v>
      </c>
      <c r="F30" s="15">
        <v>8834904.7425339613</v>
      </c>
      <c r="G30" t="s">
        <v>45</v>
      </c>
    </row>
    <row r="31" spans="1:7">
      <c r="A31" t="s">
        <v>44</v>
      </c>
      <c r="B31" s="15">
        <v>9017403.5270512309</v>
      </c>
      <c r="C31" t="s">
        <v>45</v>
      </c>
      <c r="D31" s="15">
        <v>9017403.5270512309</v>
      </c>
      <c r="E31" t="s">
        <v>45</v>
      </c>
      <c r="F31" s="15">
        <v>9017403.5270512309</v>
      </c>
      <c r="G31" t="s">
        <v>45</v>
      </c>
    </row>
    <row r="32" spans="1:7">
      <c r="A32" t="s">
        <v>30</v>
      </c>
      <c r="B32" s="14">
        <f>SUMPRODUCT(B14:B18,B27:B31)</f>
        <v>21810004.024036311</v>
      </c>
      <c r="D32" s="14">
        <f>SUMPRODUCT(D14:D18,D27:D31)</f>
        <v>39662312.293621503</v>
      </c>
      <c r="F32" s="14">
        <f>SUMPRODUCT(F14:F18,F27:F31)</f>
        <v>3937182.0275521111</v>
      </c>
    </row>
    <row r="34" spans="1:6">
      <c r="A34" s="4" t="s">
        <v>2</v>
      </c>
      <c r="B34" s="8">
        <f>B8*B9*B10</f>
        <v>9424</v>
      </c>
      <c r="D34" s="8">
        <f>D8*D9*D10</f>
        <v>9424</v>
      </c>
      <c r="F34" s="8">
        <f>F8*F9*F10</f>
        <v>9424</v>
      </c>
    </row>
    <row r="35" spans="1:6">
      <c r="A35" s="4" t="s">
        <v>16</v>
      </c>
      <c r="B35" s="5">
        <f>(1-B6)*B11</f>
        <v>46.9</v>
      </c>
      <c r="D35" s="5">
        <f>(1-D6)*D11</f>
        <v>44.160000000000004</v>
      </c>
      <c r="F35" s="5">
        <f>(1-F6)*F11</f>
        <v>55.05</v>
      </c>
    </row>
    <row r="36" spans="1:6">
      <c r="A36" s="4" t="s">
        <v>17</v>
      </c>
      <c r="B36" s="6">
        <f>((B11/1000)*B34)</f>
        <v>527.74400000000003</v>
      </c>
      <c r="D36" s="6">
        <f>((D11/1000)*D34)</f>
        <v>650.25600000000009</v>
      </c>
      <c r="F36" s="6">
        <f>((F11/1000)*F34)</f>
        <v>565.43999999999994</v>
      </c>
    </row>
    <row r="37" spans="1:6">
      <c r="A37" s="4" t="s">
        <v>18</v>
      </c>
      <c r="B37" s="6">
        <f>((B35/1000)*B34)</f>
        <v>441.98559999999998</v>
      </c>
      <c r="D37" s="6">
        <f>((D35/1000)*D34)</f>
        <v>416.16384000000005</v>
      </c>
      <c r="F37" s="6">
        <f>((F35/1000)*F34)</f>
        <v>518.7912</v>
      </c>
    </row>
    <row r="38" spans="1:6">
      <c r="A38" s="4" t="s">
        <v>19</v>
      </c>
      <c r="B38" s="6">
        <f>B36-B37</f>
        <v>85.758400000000051</v>
      </c>
      <c r="D38" s="6">
        <f>D36-D37</f>
        <v>234.09216000000004</v>
      </c>
      <c r="F38" s="6">
        <f>F36-F37</f>
        <v>46.648799999999937</v>
      </c>
    </row>
    <row r="39" spans="1:6">
      <c r="A39" s="4" t="s">
        <v>20</v>
      </c>
      <c r="B39" s="6">
        <f>B38/5</f>
        <v>17.15168000000001</v>
      </c>
      <c r="D39" s="6">
        <f>D38/5</f>
        <v>46.818432000000008</v>
      </c>
      <c r="F39" s="6">
        <f>F38/5</f>
        <v>9.3297599999999878</v>
      </c>
    </row>
    <row r="40" spans="1:6">
      <c r="A40" s="4"/>
      <c r="B40" s="6"/>
      <c r="D40" s="6"/>
      <c r="F40" s="6"/>
    </row>
    <row r="41" spans="1:6">
      <c r="A41" t="s">
        <v>21</v>
      </c>
      <c r="B41" s="3">
        <f>B39/B12</f>
        <v>0.18054400000000009</v>
      </c>
      <c r="D41" s="3">
        <f>D39/D12</f>
        <v>0.49282560000000009</v>
      </c>
      <c r="F41" s="3">
        <f>F39/F12</f>
        <v>9.8207999999999879E-2</v>
      </c>
    </row>
    <row r="42" spans="1:6">
      <c r="A42" t="s">
        <v>25</v>
      </c>
      <c r="B42" s="7">
        <f>B25*B41</f>
        <v>2014.8710400000011</v>
      </c>
      <c r="D42" s="7">
        <f>D25*D41</f>
        <v>11801.201817600002</v>
      </c>
      <c r="F42" s="7">
        <f>F25*F41</f>
        <v>135.52703999999983</v>
      </c>
    </row>
    <row r="44" spans="1:6">
      <c r="A44" t="s">
        <v>26</v>
      </c>
      <c r="B44" s="11">
        <f>B32/B42</f>
        <v>10824.516106021505</v>
      </c>
      <c r="D44" s="11">
        <f>D32/D42</f>
        <v>3360.870605099743</v>
      </c>
      <c r="F44" s="11">
        <f>F32/F42</f>
        <v>29050.896614816615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16" workbookViewId="0">
      <selection activeCell="D5" sqref="D5"/>
    </sheetView>
  </sheetViews>
  <sheetFormatPr baseColWidth="10" defaultRowHeight="15" x14ac:dyDescent="0"/>
  <cols>
    <col min="1" max="1" width="88.6640625" bestFit="1" customWidth="1"/>
    <col min="2" max="2" width="14.1640625" bestFit="1" customWidth="1"/>
    <col min="3" max="3" width="13.33203125" customWidth="1"/>
    <col min="4" max="4" width="20.6640625" bestFit="1" customWidth="1"/>
    <col min="5" max="5" width="14.6640625" customWidth="1"/>
    <col min="6" max="6" width="12.5" bestFit="1" customWidth="1"/>
    <col min="8" max="8" width="12.5" bestFit="1" customWidth="1"/>
  </cols>
  <sheetData>
    <row r="1" spans="1:7">
      <c r="B1" t="s">
        <v>53</v>
      </c>
      <c r="C1" t="s">
        <v>24</v>
      </c>
      <c r="D1" t="s">
        <v>68</v>
      </c>
      <c r="E1" t="s">
        <v>24</v>
      </c>
      <c r="F1" t="s">
        <v>54</v>
      </c>
      <c r="G1" t="s">
        <v>24</v>
      </c>
    </row>
    <row r="2" spans="1:7">
      <c r="A2" t="s">
        <v>60</v>
      </c>
      <c r="B2" s="17">
        <f>'Jake''s assumptions'!B2</f>
        <v>0.31</v>
      </c>
      <c r="C2" t="s">
        <v>67</v>
      </c>
      <c r="D2" s="17">
        <f>'Jake''s assumptions'!D2</f>
        <v>0.30555555555555558</v>
      </c>
      <c r="E2" t="s">
        <v>67</v>
      </c>
      <c r="F2" s="17">
        <f>'Jake''s assumptions'!F2</f>
        <v>0.31</v>
      </c>
      <c r="G2" t="s">
        <v>67</v>
      </c>
    </row>
    <row r="3" spans="1:7">
      <c r="A3" t="s">
        <v>57</v>
      </c>
      <c r="B3" s="10">
        <f>'Jake''s assumptions'!B3</f>
        <v>0.4</v>
      </c>
      <c r="C3" s="18"/>
      <c r="D3" s="10">
        <f>'Jake''s assumptions'!D3</f>
        <v>1</v>
      </c>
      <c r="F3" s="10">
        <f>'Jake''s assumptions'!F3</f>
        <v>0.23076923076923075</v>
      </c>
      <c r="G3" s="18" t="s">
        <v>64</v>
      </c>
    </row>
    <row r="4" spans="1:7">
      <c r="A4" t="s">
        <v>55</v>
      </c>
      <c r="B4" s="16">
        <v>0.25</v>
      </c>
      <c r="D4" s="16">
        <v>0.25</v>
      </c>
      <c r="F4" s="16">
        <v>0.25</v>
      </c>
    </row>
    <row r="5" spans="1:7">
      <c r="A5" t="s">
        <v>56</v>
      </c>
      <c r="B5" s="16">
        <f>'Jake''s assumptions'!B5</f>
        <v>0.3623188405797102</v>
      </c>
      <c r="D5" s="16">
        <f>'Jake''s assumptions'!D5</f>
        <v>0.36</v>
      </c>
      <c r="F5" s="16">
        <f>'Jake''s assumptions'!F5</f>
        <v>0.3623188405797102</v>
      </c>
    </row>
    <row r="6" spans="1:7">
      <c r="A6" t="s">
        <v>58</v>
      </c>
      <c r="B6" s="16">
        <f>'Jake''s assumptions'!B6</f>
        <v>0.14492753623188409</v>
      </c>
      <c r="D6" s="16">
        <f>'Jake''s assumptions'!D6</f>
        <v>0.36</v>
      </c>
      <c r="F6" s="16">
        <f>'Jake''s assumptions'!F6</f>
        <v>8.3612040133779278E-2</v>
      </c>
    </row>
    <row r="8" spans="1:7">
      <c r="A8" t="s">
        <v>27</v>
      </c>
      <c r="B8" s="9">
        <f>'Jake''s assumptions'!B8</f>
        <v>62</v>
      </c>
      <c r="C8" t="s">
        <v>28</v>
      </c>
      <c r="D8" s="9">
        <f>'Jake''s assumptions'!D8</f>
        <v>62</v>
      </c>
      <c r="E8" t="s">
        <v>28</v>
      </c>
      <c r="F8" s="9">
        <f>'Jake''s assumptions'!F8</f>
        <v>62</v>
      </c>
      <c r="G8" t="s">
        <v>28</v>
      </c>
    </row>
    <row r="9" spans="1:7">
      <c r="A9" t="s">
        <v>0</v>
      </c>
      <c r="B9" s="9">
        <f>'Jake''s assumptions'!B9</f>
        <v>95</v>
      </c>
      <c r="C9" t="s">
        <v>28</v>
      </c>
      <c r="D9" s="9">
        <f>'Jake''s assumptions'!D9</f>
        <v>95</v>
      </c>
      <c r="E9" t="s">
        <v>28</v>
      </c>
      <c r="F9" s="9">
        <f>'Jake''s assumptions'!F9</f>
        <v>95</v>
      </c>
      <c r="G9" t="s">
        <v>28</v>
      </c>
    </row>
    <row r="10" spans="1:7">
      <c r="A10" t="s">
        <v>1</v>
      </c>
      <c r="B10" s="9">
        <f>'Jake''s assumptions'!B10</f>
        <v>1.6</v>
      </c>
      <c r="C10" t="s">
        <v>22</v>
      </c>
      <c r="D10" s="9">
        <f>'Jake''s assumptions'!D10</f>
        <v>1.6</v>
      </c>
      <c r="E10" t="s">
        <v>22</v>
      </c>
      <c r="F10" s="9">
        <f>'Jake''s assumptions'!F10</f>
        <v>1.6</v>
      </c>
      <c r="G10" t="s">
        <v>22</v>
      </c>
    </row>
    <row r="11" spans="1:7">
      <c r="A11" t="s">
        <v>15</v>
      </c>
      <c r="B11" s="9">
        <f>'Jake''s assumptions'!B11</f>
        <v>56</v>
      </c>
      <c r="C11" t="s">
        <v>62</v>
      </c>
      <c r="D11" s="9">
        <f>'Jake''s assumptions'!D11</f>
        <v>69</v>
      </c>
      <c r="E11" t="s">
        <v>61</v>
      </c>
      <c r="F11" s="9">
        <f>'Jake''s assumptions'!F11</f>
        <v>60</v>
      </c>
      <c r="G11" t="s">
        <v>63</v>
      </c>
    </row>
    <row r="12" spans="1:7">
      <c r="A12" t="s">
        <v>29</v>
      </c>
      <c r="B12" s="9">
        <f>'Jake''s assumptions'!B12</f>
        <v>95</v>
      </c>
      <c r="C12" t="s">
        <v>28</v>
      </c>
      <c r="D12" s="9">
        <f>'Jake''s assumptions'!D12</f>
        <v>95</v>
      </c>
      <c r="E12" t="s">
        <v>28</v>
      </c>
      <c r="F12" s="9">
        <f>'Jake''s assumptions'!F12</f>
        <v>95</v>
      </c>
      <c r="G12" t="s">
        <v>28</v>
      </c>
    </row>
    <row r="14" spans="1:7">
      <c r="A14" t="s">
        <v>48</v>
      </c>
      <c r="B14" s="12">
        <f>'Jake''s assumptions'!B14</f>
        <v>1</v>
      </c>
      <c r="D14" s="12">
        <f>'Jake''s assumptions'!D14</f>
        <v>1</v>
      </c>
      <c r="F14" s="12">
        <f>'Jake''s assumptions'!F14</f>
        <v>1</v>
      </c>
    </row>
    <row r="15" spans="1:7">
      <c r="A15" t="s">
        <v>49</v>
      </c>
      <c r="B15" s="12">
        <f>'Jake''s assumptions'!B15</f>
        <v>1</v>
      </c>
      <c r="D15" s="12">
        <f>'Jake''s assumptions'!D15</f>
        <v>1</v>
      </c>
      <c r="F15" s="12">
        <f>'Jake''s assumptions'!F15</f>
        <v>0</v>
      </c>
    </row>
    <row r="16" spans="1:7">
      <c r="A16" t="s">
        <v>50</v>
      </c>
      <c r="B16" s="12">
        <f>'Jake''s assumptions'!B16</f>
        <v>1</v>
      </c>
      <c r="D16" s="12">
        <f>'Jake''s assumptions'!D16</f>
        <v>1</v>
      </c>
      <c r="F16" s="12">
        <f>'Jake''s assumptions'!F16</f>
        <v>0</v>
      </c>
    </row>
    <row r="17" spans="1:7">
      <c r="A17" t="s">
        <v>51</v>
      </c>
      <c r="B17" s="12">
        <f>'Jake''s assumptions'!B17</f>
        <v>0</v>
      </c>
      <c r="D17" s="12">
        <f>'Jake''s assumptions'!D17</f>
        <v>1</v>
      </c>
      <c r="F17" s="12">
        <f>'Jake''s assumptions'!F17</f>
        <v>0</v>
      </c>
    </row>
    <row r="18" spans="1:7">
      <c r="A18" t="s">
        <v>52</v>
      </c>
      <c r="B18" s="12">
        <f>'Jake''s assumptions'!B18</f>
        <v>0</v>
      </c>
      <c r="D18" s="12">
        <f>'Jake''s assumptions'!D18</f>
        <v>1</v>
      </c>
      <c r="F18" s="12">
        <f>'Jake''s assumptions'!F18</f>
        <v>0</v>
      </c>
    </row>
    <row r="20" spans="1:7">
      <c r="A20" t="s">
        <v>46</v>
      </c>
      <c r="B20" s="19">
        <f>'Jake''s assumptions'!B20</f>
        <v>1380</v>
      </c>
      <c r="C20" t="s">
        <v>66</v>
      </c>
      <c r="D20" s="19">
        <f>'Jake''s assumptions'!D20</f>
        <v>1380</v>
      </c>
      <c r="E20" t="s">
        <v>66</v>
      </c>
      <c r="F20" s="19">
        <f>'Jake''s assumptions'!F20</f>
        <v>1380</v>
      </c>
      <c r="G20" t="s">
        <v>66</v>
      </c>
    </row>
    <row r="21" spans="1:7">
      <c r="A21" t="s">
        <v>35</v>
      </c>
      <c r="B21" s="19">
        <f>'Jake''s assumptions'!B21</f>
        <v>4166</v>
      </c>
      <c r="C21" t="s">
        <v>66</v>
      </c>
      <c r="D21" s="19">
        <f>'Jake''s assumptions'!D21</f>
        <v>4166</v>
      </c>
      <c r="E21" t="s">
        <v>66</v>
      </c>
      <c r="F21" s="19">
        <f>'Jake''s assumptions'!F21</f>
        <v>4166</v>
      </c>
      <c r="G21" t="s">
        <v>66</v>
      </c>
    </row>
    <row r="22" spans="1:7">
      <c r="A22" t="s">
        <v>36</v>
      </c>
      <c r="B22" s="19">
        <f>'Jake''s assumptions'!B22</f>
        <v>5614</v>
      </c>
      <c r="C22" t="s">
        <v>66</v>
      </c>
      <c r="D22" s="19">
        <f>'Jake''s assumptions'!D22</f>
        <v>5614</v>
      </c>
      <c r="E22" t="s">
        <v>66</v>
      </c>
      <c r="F22" s="19">
        <f>'Jake''s assumptions'!F22</f>
        <v>5614</v>
      </c>
      <c r="G22" t="s">
        <v>66</v>
      </c>
    </row>
    <row r="23" spans="1:7">
      <c r="A23" t="s">
        <v>37</v>
      </c>
      <c r="B23" s="19">
        <f>'Jake''s assumptions'!B23</f>
        <v>6171</v>
      </c>
      <c r="C23" t="s">
        <v>66</v>
      </c>
      <c r="D23" s="19">
        <f>'Jake''s assumptions'!D23</f>
        <v>6171</v>
      </c>
      <c r="E23" t="s">
        <v>66</v>
      </c>
      <c r="F23" s="19">
        <f>'Jake''s assumptions'!F23</f>
        <v>6171</v>
      </c>
      <c r="G23" t="s">
        <v>66</v>
      </c>
    </row>
    <row r="24" spans="1:7">
      <c r="A24" t="s">
        <v>38</v>
      </c>
      <c r="B24" s="19">
        <f>'Jake''s assumptions'!B24</f>
        <v>6615</v>
      </c>
      <c r="C24" t="s">
        <v>66</v>
      </c>
      <c r="D24" s="19">
        <f>'Jake''s assumptions'!D24</f>
        <v>6615</v>
      </c>
      <c r="E24" t="s">
        <v>66</v>
      </c>
      <c r="F24" s="19">
        <f>'Jake''s assumptions'!F24</f>
        <v>6615</v>
      </c>
      <c r="G24" t="s">
        <v>66</v>
      </c>
    </row>
    <row r="25" spans="1:7">
      <c r="A25" t="s">
        <v>40</v>
      </c>
      <c r="B25" s="13">
        <f>'Jake''s assumptions'!B25</f>
        <v>11160</v>
      </c>
      <c r="D25" s="13">
        <f>'Jake''s assumptions'!D25</f>
        <v>23946</v>
      </c>
      <c r="F25" s="13">
        <f>'Jake''s assumptions'!F25</f>
        <v>1380</v>
      </c>
    </row>
    <row r="26" spans="1:7">
      <c r="B26" s="13"/>
      <c r="D26" s="13"/>
      <c r="F26" s="13"/>
    </row>
    <row r="27" spans="1:7">
      <c r="A27" t="s">
        <v>47</v>
      </c>
      <c r="B27" s="20">
        <v>1841386.7547642319</v>
      </c>
      <c r="C27" t="s">
        <v>69</v>
      </c>
      <c r="D27" s="20">
        <v>1841386.7547642319</v>
      </c>
      <c r="E27" t="s">
        <v>69</v>
      </c>
      <c r="F27" s="20">
        <v>1841386.7547642319</v>
      </c>
      <c r="G27" t="s">
        <v>69</v>
      </c>
    </row>
    <row r="28" spans="1:7">
      <c r="A28" t="s">
        <v>41</v>
      </c>
      <c r="B28" s="20">
        <v>7170747.9851206765</v>
      </c>
      <c r="C28" t="s">
        <v>69</v>
      </c>
      <c r="D28" s="20">
        <v>7170747.9851206765</v>
      </c>
      <c r="E28" t="s">
        <v>69</v>
      </c>
      <c r="F28" s="20">
        <v>7170747.9851206765</v>
      </c>
      <c r="G28" t="s">
        <v>69</v>
      </c>
    </row>
    <row r="29" spans="1:7">
      <c r="A29" t="s">
        <v>42</v>
      </c>
      <c r="B29" s="20">
        <v>6125295.8246058766</v>
      </c>
      <c r="C29" t="s">
        <v>69</v>
      </c>
      <c r="D29" s="20">
        <v>6125295.8246058766</v>
      </c>
      <c r="E29" t="s">
        <v>69</v>
      </c>
      <c r="F29" s="20">
        <v>6125295.8246058766</v>
      </c>
      <c r="G29" t="s">
        <v>69</v>
      </c>
    </row>
    <row r="30" spans="1:7">
      <c r="A30" t="s">
        <v>43</v>
      </c>
      <c r="B30" s="20">
        <v>6398444.2530807462</v>
      </c>
      <c r="C30" t="s">
        <v>69</v>
      </c>
      <c r="D30" s="20">
        <v>6398444.2530807462</v>
      </c>
      <c r="E30" t="s">
        <v>69</v>
      </c>
      <c r="F30" s="20">
        <v>6398444.2530807462</v>
      </c>
      <c r="G30" t="s">
        <v>69</v>
      </c>
    </row>
    <row r="31" spans="1:7">
      <c r="A31" t="s">
        <v>44</v>
      </c>
      <c r="B31" s="20">
        <v>6642266.5824026931</v>
      </c>
      <c r="C31" t="s">
        <v>69</v>
      </c>
      <c r="D31" s="20">
        <v>6642266.5824026931</v>
      </c>
      <c r="E31" t="s">
        <v>69</v>
      </c>
      <c r="F31" s="20">
        <v>6642266.5824026931</v>
      </c>
      <c r="G31" t="s">
        <v>69</v>
      </c>
    </row>
    <row r="32" spans="1:7">
      <c r="A32" t="s">
        <v>30</v>
      </c>
      <c r="B32" s="14">
        <f>SUMPRODUCT(B14:B18,B27:B31)</f>
        <v>15137430.564490786</v>
      </c>
      <c r="D32" s="14">
        <f>SUMPRODUCT(D14:D18,D27:D31)</f>
        <v>28178141.399974227</v>
      </c>
      <c r="F32" s="14">
        <f>SUMPRODUCT(F14:F18,F27:F31)</f>
        <v>1841386.7547642319</v>
      </c>
    </row>
    <row r="33" spans="1:6">
      <c r="B33" s="14"/>
    </row>
    <row r="34" spans="1:6">
      <c r="A34" s="4" t="s">
        <v>2</v>
      </c>
      <c r="B34" s="19">
        <f>'Jake''s assumptions'!B34</f>
        <v>9424</v>
      </c>
      <c r="D34" s="19">
        <f>'Jake''s assumptions'!D34</f>
        <v>9424</v>
      </c>
      <c r="F34" s="19">
        <f>'Jake''s assumptions'!F34</f>
        <v>9424</v>
      </c>
    </row>
    <row r="35" spans="1:6">
      <c r="A35" s="4" t="s">
        <v>16</v>
      </c>
      <c r="B35" s="5">
        <f>'Jake''s assumptions'!B35</f>
        <v>47.884057971014492</v>
      </c>
      <c r="D35" s="5">
        <f>'Jake''s assumptions'!D35</f>
        <v>44.160000000000004</v>
      </c>
      <c r="F35" s="5">
        <f>'Jake''s assumptions'!F35</f>
        <v>54.983277591973241</v>
      </c>
    </row>
    <row r="36" spans="1:6">
      <c r="A36" s="4" t="s">
        <v>17</v>
      </c>
      <c r="B36" s="6">
        <f>'Jake''s assumptions'!B36</f>
        <v>527.74400000000003</v>
      </c>
      <c r="D36" s="6">
        <f>'Jake''s assumptions'!D36</f>
        <v>650.25600000000009</v>
      </c>
      <c r="F36" s="6">
        <f>'Jake''s assumptions'!F36</f>
        <v>565.43999999999994</v>
      </c>
    </row>
    <row r="37" spans="1:6">
      <c r="A37" s="4" t="s">
        <v>18</v>
      </c>
      <c r="B37" s="6">
        <f>'Jake''s assumptions'!B37</f>
        <v>451.25936231884054</v>
      </c>
      <c r="D37" s="6">
        <f>'Jake''s assumptions'!D37</f>
        <v>416.16384000000005</v>
      </c>
      <c r="F37" s="6">
        <f>'Jake''s assumptions'!F37</f>
        <v>518.16240802675577</v>
      </c>
    </row>
    <row r="38" spans="1:6">
      <c r="A38" s="4" t="s">
        <v>19</v>
      </c>
      <c r="B38" s="6">
        <f>'Jake''s assumptions'!B38</f>
        <v>76.484637681159484</v>
      </c>
      <c r="D38" s="6">
        <f>'Jake''s assumptions'!D38</f>
        <v>234.09216000000004</v>
      </c>
      <c r="F38" s="6">
        <f>'Jake''s assumptions'!F38</f>
        <v>47.277591973244171</v>
      </c>
    </row>
    <row r="39" spans="1:6">
      <c r="A39" s="4" t="s">
        <v>20</v>
      </c>
      <c r="B39" s="6">
        <f>'Jake''s assumptions'!B39</f>
        <v>15.296927536231896</v>
      </c>
      <c r="D39" s="6">
        <f>'Jake''s assumptions'!D39</f>
        <v>46.818432000000008</v>
      </c>
      <c r="F39" s="6">
        <f>'Jake''s assumptions'!F39</f>
        <v>9.4555183946488341</v>
      </c>
    </row>
    <row r="40" spans="1:6">
      <c r="A40" s="4"/>
      <c r="B40" s="6"/>
      <c r="D40" s="6"/>
      <c r="F40" s="6"/>
    </row>
    <row r="41" spans="1:6">
      <c r="A41" t="s">
        <v>21</v>
      </c>
      <c r="B41" s="3">
        <f>B39/B12</f>
        <v>0.16102028985507261</v>
      </c>
      <c r="D41" s="3">
        <f>D39/D12</f>
        <v>0.49282560000000009</v>
      </c>
      <c r="F41" s="3">
        <f>F39/F12</f>
        <v>9.9531772575250879E-2</v>
      </c>
    </row>
    <row r="42" spans="1:6">
      <c r="A42" t="s">
        <v>25</v>
      </c>
      <c r="B42" s="7">
        <f>B25*B41</f>
        <v>1796.9864347826103</v>
      </c>
      <c r="D42" s="7">
        <f>D25*D41</f>
        <v>11801.201817600002</v>
      </c>
      <c r="F42" s="7">
        <f>F25*F41</f>
        <v>137.35384615384621</v>
      </c>
    </row>
    <row r="44" spans="1:6">
      <c r="A44" t="s">
        <v>26</v>
      </c>
      <c r="B44" s="11">
        <f>B32/B42</f>
        <v>8423.7867751750891</v>
      </c>
      <c r="D44" s="11">
        <f>D32/D42</f>
        <v>2387.7348964535195</v>
      </c>
      <c r="F44" s="11">
        <f>F32/F42</f>
        <v>13406.153568511987</v>
      </c>
    </row>
    <row r="48" spans="1:6">
      <c r="B48" s="1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A38" sqref="A38"/>
    </sheetView>
  </sheetViews>
  <sheetFormatPr baseColWidth="10" defaultRowHeight="15" x14ac:dyDescent="0"/>
  <cols>
    <col min="1" max="1" width="88.6640625" bestFit="1" customWidth="1"/>
    <col min="2" max="2" width="14.1640625" bestFit="1" customWidth="1"/>
    <col min="3" max="3" width="13.33203125" customWidth="1"/>
    <col min="4" max="4" width="20.6640625" bestFit="1" customWidth="1"/>
    <col min="5" max="5" width="14.6640625" customWidth="1"/>
    <col min="6" max="6" width="12.5" bestFit="1" customWidth="1"/>
    <col min="8" max="8" width="12.5" bestFit="1" customWidth="1"/>
  </cols>
  <sheetData>
    <row r="1" spans="1:7">
      <c r="B1" t="s">
        <v>53</v>
      </c>
      <c r="C1" t="s">
        <v>24</v>
      </c>
      <c r="D1" t="s">
        <v>68</v>
      </c>
      <c r="E1" t="s">
        <v>24</v>
      </c>
      <c r="F1" t="s">
        <v>54</v>
      </c>
      <c r="G1" t="s">
        <v>24</v>
      </c>
    </row>
    <row r="2" spans="1:7">
      <c r="A2" t="s">
        <v>60</v>
      </c>
      <c r="B2" s="17">
        <f>'Natalie''s assumptions'!B2</f>
        <v>0</v>
      </c>
      <c r="C2" t="s">
        <v>59</v>
      </c>
      <c r="D2" s="17">
        <f>'Natalie''s assumptions'!D2</f>
        <v>0.30555555555555558</v>
      </c>
      <c r="E2" t="s">
        <v>59</v>
      </c>
      <c r="F2" s="17">
        <f>'Natalie''s assumptions'!F2</f>
        <v>0</v>
      </c>
      <c r="G2" t="s">
        <v>59</v>
      </c>
    </row>
    <row r="3" spans="1:7">
      <c r="A3" t="s">
        <v>57</v>
      </c>
      <c r="B3" s="10">
        <f>'Natalie''s assumptions'!B3</f>
        <v>0.65</v>
      </c>
      <c r="C3" s="18"/>
      <c r="D3" s="10">
        <f>'Natalie''s assumptions'!D3</f>
        <v>1</v>
      </c>
      <c r="F3" s="10">
        <f>'Natalie''s assumptions'!F3</f>
        <v>0.33</v>
      </c>
      <c r="G3" s="18"/>
    </row>
    <row r="4" spans="1:7">
      <c r="A4" t="s">
        <v>55</v>
      </c>
      <c r="B4" s="16">
        <f>'Natalie''s assumptions'!B4</f>
        <v>0.25</v>
      </c>
      <c r="D4" s="16">
        <f>'Natalie''s assumptions'!D4</f>
        <v>0.25</v>
      </c>
      <c r="F4" s="16">
        <f>'Natalie''s assumptions'!F4</f>
        <v>0.25</v>
      </c>
    </row>
    <row r="5" spans="1:7">
      <c r="A5" t="s">
        <v>56</v>
      </c>
      <c r="B5" s="16">
        <f>'Natalie''s assumptions'!B5</f>
        <v>0.25</v>
      </c>
      <c r="D5" s="16">
        <f>'Natalie''s assumptions'!D5</f>
        <v>0.36</v>
      </c>
      <c r="F5" s="16">
        <f>'Natalie''s assumptions'!F5</f>
        <v>0.25</v>
      </c>
    </row>
    <row r="6" spans="1:7">
      <c r="A6" t="s">
        <v>58</v>
      </c>
      <c r="B6" s="16">
        <f>'Natalie''s assumptions'!B6</f>
        <v>0.16250000000000001</v>
      </c>
      <c r="D6" s="16">
        <f>'Natalie''s assumptions'!D6</f>
        <v>0.36</v>
      </c>
      <c r="F6" s="16">
        <f>'Natalie''s assumptions'!F6</f>
        <v>8.2500000000000004E-2</v>
      </c>
    </row>
    <row r="8" spans="1:7">
      <c r="A8" t="s">
        <v>27</v>
      </c>
      <c r="B8" s="9">
        <f>'Natalie''s assumptions'!B8</f>
        <v>62</v>
      </c>
      <c r="C8" t="s">
        <v>28</v>
      </c>
      <c r="D8" s="9">
        <f>'Natalie''s assumptions'!D8</f>
        <v>62</v>
      </c>
      <c r="E8" t="s">
        <v>28</v>
      </c>
      <c r="F8" s="9">
        <f>'Natalie''s assumptions'!F8</f>
        <v>62</v>
      </c>
      <c r="G8" t="s">
        <v>28</v>
      </c>
    </row>
    <row r="9" spans="1:7">
      <c r="A9" t="s">
        <v>0</v>
      </c>
      <c r="B9" s="9">
        <f>'Natalie''s assumptions'!B9</f>
        <v>95</v>
      </c>
      <c r="C9" t="s">
        <v>28</v>
      </c>
      <c r="D9" s="9">
        <f>'Natalie''s assumptions'!D9</f>
        <v>95</v>
      </c>
      <c r="E9" t="s">
        <v>28</v>
      </c>
      <c r="F9" s="9">
        <f>'Natalie''s assumptions'!F9</f>
        <v>95</v>
      </c>
      <c r="G9" t="s">
        <v>28</v>
      </c>
    </row>
    <row r="10" spans="1:7">
      <c r="A10" t="s">
        <v>1</v>
      </c>
      <c r="B10" s="9">
        <f>'Natalie''s assumptions'!B10</f>
        <v>1.6</v>
      </c>
      <c r="C10" t="s">
        <v>22</v>
      </c>
      <c r="D10" s="9">
        <f>'Natalie''s assumptions'!D10</f>
        <v>1.6</v>
      </c>
      <c r="E10" t="s">
        <v>22</v>
      </c>
      <c r="F10" s="9">
        <f>'Natalie''s assumptions'!F10</f>
        <v>1.6</v>
      </c>
      <c r="G10" t="s">
        <v>22</v>
      </c>
    </row>
    <row r="11" spans="1:7">
      <c r="A11" t="s">
        <v>15</v>
      </c>
      <c r="B11" s="9">
        <f>'Natalie''s assumptions'!B11</f>
        <v>56</v>
      </c>
      <c r="C11" t="s">
        <v>62</v>
      </c>
      <c r="D11" s="9">
        <f>'Natalie''s assumptions'!D11</f>
        <v>69</v>
      </c>
      <c r="E11" t="s">
        <v>61</v>
      </c>
      <c r="F11" s="9">
        <f>'Natalie''s assumptions'!F11</f>
        <v>60</v>
      </c>
      <c r="G11" t="s">
        <v>63</v>
      </c>
    </row>
    <row r="12" spans="1:7">
      <c r="A12" t="s">
        <v>29</v>
      </c>
      <c r="B12" s="9">
        <f>'Natalie''s assumptions'!B12</f>
        <v>95</v>
      </c>
      <c r="C12" t="s">
        <v>28</v>
      </c>
      <c r="D12" s="9">
        <f>'Natalie''s assumptions'!D12</f>
        <v>95</v>
      </c>
      <c r="E12" t="s">
        <v>28</v>
      </c>
      <c r="F12" s="9">
        <f>'Natalie''s assumptions'!F12</f>
        <v>95</v>
      </c>
      <c r="G12" t="s">
        <v>28</v>
      </c>
    </row>
    <row r="14" spans="1:7">
      <c r="A14" t="s">
        <v>48</v>
      </c>
      <c r="B14" s="12">
        <f>'Natalie''s assumptions'!B14</f>
        <v>1</v>
      </c>
      <c r="D14" s="12">
        <f>'Natalie''s assumptions'!D14</f>
        <v>1</v>
      </c>
      <c r="F14" s="12">
        <f>'Natalie''s assumptions'!F14</f>
        <v>1</v>
      </c>
    </row>
    <row r="15" spans="1:7">
      <c r="A15" t="s">
        <v>49</v>
      </c>
      <c r="B15" s="12">
        <f>'Natalie''s assumptions'!B15</f>
        <v>1</v>
      </c>
      <c r="D15" s="12">
        <f>'Natalie''s assumptions'!D15</f>
        <v>1</v>
      </c>
      <c r="F15" s="12">
        <f>'Natalie''s assumptions'!F15</f>
        <v>0</v>
      </c>
    </row>
    <row r="16" spans="1:7">
      <c r="A16" t="s">
        <v>50</v>
      </c>
      <c r="B16" s="12">
        <f>'Natalie''s assumptions'!B16</f>
        <v>1</v>
      </c>
      <c r="D16" s="12">
        <f>'Natalie''s assumptions'!D16</f>
        <v>1</v>
      </c>
      <c r="F16" s="12">
        <f>'Natalie''s assumptions'!F16</f>
        <v>0</v>
      </c>
    </row>
    <row r="17" spans="1:7">
      <c r="A17" t="s">
        <v>51</v>
      </c>
      <c r="B17" s="12">
        <f>'Natalie''s assumptions'!B17</f>
        <v>0</v>
      </c>
      <c r="D17" s="12">
        <f>'Natalie''s assumptions'!D17</f>
        <v>1</v>
      </c>
      <c r="F17" s="12">
        <f>'Natalie''s assumptions'!F17</f>
        <v>0</v>
      </c>
    </row>
    <row r="18" spans="1:7">
      <c r="A18" t="s">
        <v>52</v>
      </c>
      <c r="B18" s="12">
        <f>'Natalie''s assumptions'!B18</f>
        <v>0</v>
      </c>
      <c r="D18" s="12">
        <f>'Natalie''s assumptions'!D18</f>
        <v>1</v>
      </c>
      <c r="F18" s="12">
        <f>'Natalie''s assumptions'!F18</f>
        <v>0</v>
      </c>
    </row>
    <row r="20" spans="1:7">
      <c r="A20" t="s">
        <v>46</v>
      </c>
      <c r="B20" s="8">
        <f>'Natalie''s assumptions'!B20</f>
        <v>1380</v>
      </c>
      <c r="C20" t="s">
        <v>39</v>
      </c>
      <c r="D20" s="8">
        <f>'Natalie''s assumptions'!D20</f>
        <v>1380</v>
      </c>
      <c r="E20" t="s">
        <v>39</v>
      </c>
      <c r="F20" s="8">
        <f>'Natalie''s assumptions'!F20</f>
        <v>1380</v>
      </c>
      <c r="G20" t="s">
        <v>39</v>
      </c>
    </row>
    <row r="21" spans="1:7">
      <c r="A21" t="s">
        <v>35</v>
      </c>
      <c r="B21" s="8">
        <f>'Natalie''s assumptions'!B21</f>
        <v>4166</v>
      </c>
      <c r="C21" t="s">
        <v>39</v>
      </c>
      <c r="D21" s="8">
        <f>'Natalie''s assumptions'!D21</f>
        <v>4166</v>
      </c>
      <c r="E21" t="s">
        <v>39</v>
      </c>
      <c r="F21" s="8">
        <f>'Natalie''s assumptions'!F21</f>
        <v>4166</v>
      </c>
      <c r="G21" t="s">
        <v>39</v>
      </c>
    </row>
    <row r="22" spans="1:7">
      <c r="A22" t="s">
        <v>36</v>
      </c>
      <c r="B22" s="8">
        <f>'Natalie''s assumptions'!B22</f>
        <v>5614</v>
      </c>
      <c r="C22" t="s">
        <v>39</v>
      </c>
      <c r="D22" s="8">
        <f>'Natalie''s assumptions'!D22</f>
        <v>5614</v>
      </c>
      <c r="E22" t="s">
        <v>39</v>
      </c>
      <c r="F22" s="8">
        <f>'Natalie''s assumptions'!F22</f>
        <v>5614</v>
      </c>
      <c r="G22" t="s">
        <v>39</v>
      </c>
    </row>
    <row r="23" spans="1:7">
      <c r="A23" t="s">
        <v>37</v>
      </c>
      <c r="B23" s="8">
        <f>'Natalie''s assumptions'!B23</f>
        <v>6171</v>
      </c>
      <c r="C23" t="s">
        <v>39</v>
      </c>
      <c r="D23" s="8">
        <f>'Natalie''s assumptions'!D23</f>
        <v>6171</v>
      </c>
      <c r="E23" t="s">
        <v>39</v>
      </c>
      <c r="F23" s="8">
        <f>'Natalie''s assumptions'!F23</f>
        <v>6171</v>
      </c>
      <c r="G23" t="s">
        <v>39</v>
      </c>
    </row>
    <row r="24" spans="1:7">
      <c r="A24" t="s">
        <v>38</v>
      </c>
      <c r="B24" s="8">
        <f>'Natalie''s assumptions'!B24</f>
        <v>6615</v>
      </c>
      <c r="C24" t="s">
        <v>39</v>
      </c>
      <c r="D24" s="8">
        <f>'Natalie''s assumptions'!D24</f>
        <v>6615</v>
      </c>
      <c r="E24" t="s">
        <v>39</v>
      </c>
      <c r="F24" s="8">
        <f>'Natalie''s assumptions'!F24</f>
        <v>6615</v>
      </c>
      <c r="G24" t="s">
        <v>39</v>
      </c>
    </row>
    <row r="25" spans="1:7">
      <c r="A25" t="s">
        <v>40</v>
      </c>
      <c r="B25" s="13">
        <f>'Natalie''s assumptions'!B25</f>
        <v>11160</v>
      </c>
      <c r="D25" s="13">
        <f>'Natalie''s assumptions'!D25</f>
        <v>23946</v>
      </c>
      <c r="F25" s="13">
        <f>'Natalie''s assumptions'!F25</f>
        <v>1380</v>
      </c>
    </row>
    <row r="26" spans="1:7">
      <c r="B26" s="13"/>
      <c r="D26" s="13"/>
      <c r="F26" s="13"/>
    </row>
    <row r="27" spans="1:7">
      <c r="A27" t="s">
        <v>47</v>
      </c>
      <c r="B27" s="20">
        <v>1841386.7547642319</v>
      </c>
      <c r="C27" t="s">
        <v>69</v>
      </c>
      <c r="D27" s="20">
        <v>1841386.7547642319</v>
      </c>
      <c r="E27" t="s">
        <v>69</v>
      </c>
      <c r="F27" s="20">
        <v>1841386.7547642319</v>
      </c>
      <c r="G27" t="s">
        <v>69</v>
      </c>
    </row>
    <row r="28" spans="1:7">
      <c r="A28" t="s">
        <v>41</v>
      </c>
      <c r="B28" s="20">
        <v>7170747.9851206765</v>
      </c>
      <c r="C28" t="s">
        <v>69</v>
      </c>
      <c r="D28" s="20">
        <v>7170747.9851206765</v>
      </c>
      <c r="E28" t="s">
        <v>69</v>
      </c>
      <c r="F28" s="20">
        <v>7170747.9851206765</v>
      </c>
      <c r="G28" t="s">
        <v>69</v>
      </c>
    </row>
    <row r="29" spans="1:7">
      <c r="A29" t="s">
        <v>42</v>
      </c>
      <c r="B29" s="20">
        <v>6125295.8246058766</v>
      </c>
      <c r="C29" t="s">
        <v>69</v>
      </c>
      <c r="D29" s="20">
        <v>6125295.8246058766</v>
      </c>
      <c r="E29" t="s">
        <v>69</v>
      </c>
      <c r="F29" s="20">
        <v>6125295.8246058766</v>
      </c>
      <c r="G29" t="s">
        <v>69</v>
      </c>
    </row>
    <row r="30" spans="1:7">
      <c r="A30" t="s">
        <v>43</v>
      </c>
      <c r="B30" s="20">
        <v>6398444.2530807462</v>
      </c>
      <c r="C30" t="s">
        <v>69</v>
      </c>
      <c r="D30" s="20">
        <v>6398444.2530807462</v>
      </c>
      <c r="E30" t="s">
        <v>69</v>
      </c>
      <c r="F30" s="20">
        <v>6398444.2530807462</v>
      </c>
      <c r="G30" t="s">
        <v>69</v>
      </c>
    </row>
    <row r="31" spans="1:7">
      <c r="A31" t="s">
        <v>44</v>
      </c>
      <c r="B31" s="20">
        <v>6642266.5824026931</v>
      </c>
      <c r="C31" t="s">
        <v>69</v>
      </c>
      <c r="D31" s="20">
        <v>6642266.5824026931</v>
      </c>
      <c r="E31" t="s">
        <v>69</v>
      </c>
      <c r="F31" s="20">
        <v>6642266.5824026931</v>
      </c>
      <c r="G31" t="s">
        <v>69</v>
      </c>
    </row>
    <row r="32" spans="1:7">
      <c r="A32" t="s">
        <v>30</v>
      </c>
      <c r="B32" s="14">
        <f>SUMPRODUCT(B14:B18,B27:B31)</f>
        <v>15137430.564490786</v>
      </c>
      <c r="D32" s="14">
        <f>SUMPRODUCT(D14:D18,D27:D31)</f>
        <v>28178141.399974227</v>
      </c>
      <c r="F32" s="14">
        <f>SUMPRODUCT(F14:F18,F27:F31)</f>
        <v>1841386.7547642319</v>
      </c>
    </row>
    <row r="34" spans="1:6">
      <c r="A34" s="4" t="s">
        <v>2</v>
      </c>
      <c r="B34" s="8">
        <f>'Natalie''s assumptions'!B34</f>
        <v>9424</v>
      </c>
      <c r="D34" s="8">
        <f>'Natalie''s assumptions'!D34</f>
        <v>9424</v>
      </c>
      <c r="F34" s="8">
        <f>'Natalie''s assumptions'!F34</f>
        <v>9424</v>
      </c>
    </row>
    <row r="35" spans="1:6">
      <c r="A35" s="4" t="s">
        <v>16</v>
      </c>
      <c r="B35" s="5">
        <f>'Natalie''s assumptions'!B35</f>
        <v>46.9</v>
      </c>
      <c r="D35" s="5">
        <f>'Natalie''s assumptions'!D35</f>
        <v>44.160000000000004</v>
      </c>
      <c r="F35" s="5">
        <f>'Natalie''s assumptions'!F35</f>
        <v>55.05</v>
      </c>
    </row>
    <row r="36" spans="1:6">
      <c r="A36" s="4" t="s">
        <v>17</v>
      </c>
      <c r="B36" s="6">
        <f>'Natalie''s assumptions'!B36</f>
        <v>527.74400000000003</v>
      </c>
      <c r="D36" s="6">
        <f>'Natalie''s assumptions'!D36</f>
        <v>650.25600000000009</v>
      </c>
      <c r="F36" s="6">
        <f>'Natalie''s assumptions'!F36</f>
        <v>565.43999999999994</v>
      </c>
    </row>
    <row r="37" spans="1:6">
      <c r="A37" s="4" t="s">
        <v>18</v>
      </c>
      <c r="B37" s="6">
        <f>'Natalie''s assumptions'!B37</f>
        <v>441.98559999999998</v>
      </c>
      <c r="D37" s="6">
        <f>'Natalie''s assumptions'!D37</f>
        <v>416.16384000000005</v>
      </c>
      <c r="F37" s="6">
        <f>'Natalie''s assumptions'!F37</f>
        <v>518.7912</v>
      </c>
    </row>
    <row r="38" spans="1:6">
      <c r="A38" s="4" t="s">
        <v>19</v>
      </c>
      <c r="B38" s="6">
        <f>'Natalie''s assumptions'!B38</f>
        <v>85.758400000000051</v>
      </c>
      <c r="D38" s="6">
        <f>'Natalie''s assumptions'!D38</f>
        <v>234.09216000000004</v>
      </c>
      <c r="F38" s="6">
        <f>'Natalie''s assumptions'!F38</f>
        <v>46.648799999999937</v>
      </c>
    </row>
    <row r="39" spans="1:6">
      <c r="A39" s="4" t="s">
        <v>20</v>
      </c>
      <c r="B39" s="6">
        <f>'Natalie''s assumptions'!B39</f>
        <v>17.15168000000001</v>
      </c>
      <c r="D39" s="6">
        <f>'Natalie''s assumptions'!D39</f>
        <v>46.818432000000008</v>
      </c>
      <c r="F39" s="6">
        <f>'Natalie''s assumptions'!F39</f>
        <v>9.3297599999999878</v>
      </c>
    </row>
    <row r="40" spans="1:6">
      <c r="A40" s="4"/>
      <c r="B40" s="6"/>
      <c r="D40" s="6"/>
      <c r="F40" s="6"/>
    </row>
    <row r="41" spans="1:6">
      <c r="A41" t="s">
        <v>21</v>
      </c>
      <c r="B41" s="3">
        <f>B39/B12</f>
        <v>0.18054400000000009</v>
      </c>
      <c r="D41" s="3">
        <f>D39/D12</f>
        <v>0.49282560000000009</v>
      </c>
      <c r="F41" s="3">
        <f>F39/F12</f>
        <v>9.8207999999999879E-2</v>
      </c>
    </row>
    <row r="42" spans="1:6">
      <c r="A42" t="s">
        <v>25</v>
      </c>
      <c r="B42" s="7">
        <f>B25*B41</f>
        <v>2014.8710400000011</v>
      </c>
      <c r="D42" s="7">
        <f>D25*D41</f>
        <v>11801.201817600002</v>
      </c>
      <c r="F42" s="7">
        <f>F25*F41</f>
        <v>135.52703999999983</v>
      </c>
    </row>
    <row r="44" spans="1:6">
      <c r="A44" t="s">
        <v>26</v>
      </c>
      <c r="B44" s="11">
        <f>B32/B42</f>
        <v>7512.8533111929473</v>
      </c>
      <c r="D44" s="11">
        <f>D32/D42</f>
        <v>2387.7348964535195</v>
      </c>
      <c r="F44" s="11">
        <f>F32/F42</f>
        <v>13586.858790424658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26" sqref="E26"/>
    </sheetView>
  </sheetViews>
  <sheetFormatPr baseColWidth="10" defaultRowHeight="15" x14ac:dyDescent="0"/>
  <cols>
    <col min="1" max="1" width="21.5" bestFit="1" customWidth="1"/>
    <col min="5" max="5" width="22.83203125" bestFit="1" customWidth="1"/>
  </cols>
  <sheetData>
    <row r="1" spans="1:5">
      <c r="A1" t="s">
        <v>32</v>
      </c>
      <c r="B1" t="s">
        <v>33</v>
      </c>
      <c r="C1" t="s">
        <v>24</v>
      </c>
      <c r="E1" t="s">
        <v>34</v>
      </c>
    </row>
    <row r="2" spans="1:5">
      <c r="A2" s="4">
        <v>2011</v>
      </c>
      <c r="B2" s="4">
        <v>74</v>
      </c>
      <c r="C2" t="s">
        <v>23</v>
      </c>
      <c r="E2" s="2">
        <f>(B2-B3)/B2</f>
        <v>6.7567567567567571E-2</v>
      </c>
    </row>
    <row r="3" spans="1:5">
      <c r="A3" s="4">
        <v>2012</v>
      </c>
      <c r="B3" s="4">
        <v>69</v>
      </c>
      <c r="C3" t="s">
        <v>23</v>
      </c>
    </row>
    <row r="4" spans="1:5">
      <c r="A4">
        <v>2013</v>
      </c>
      <c r="B4" s="7">
        <f t="shared" ref="B4:B9" si="0">B3-B3*$E$2</f>
        <v>64.337837837837839</v>
      </c>
    </row>
    <row r="5" spans="1:5">
      <c r="A5">
        <v>2014</v>
      </c>
      <c r="B5" s="7">
        <f t="shared" si="0"/>
        <v>59.990686632578523</v>
      </c>
      <c r="D5" s="7"/>
    </row>
    <row r="6" spans="1:5">
      <c r="A6">
        <v>2015</v>
      </c>
      <c r="B6" s="7">
        <f t="shared" si="0"/>
        <v>55.937261860107</v>
      </c>
    </row>
    <row r="7" spans="1:5">
      <c r="A7">
        <v>2016</v>
      </c>
      <c r="B7" s="7">
        <f t="shared" si="0"/>
        <v>52.157717139829501</v>
      </c>
    </row>
    <row r="8" spans="1:5">
      <c r="A8">
        <v>2017</v>
      </c>
      <c r="B8" s="7">
        <f t="shared" si="0"/>
        <v>48.633547062813996</v>
      </c>
    </row>
    <row r="9" spans="1:5">
      <c r="A9">
        <v>2018</v>
      </c>
      <c r="B9" s="7">
        <f t="shared" si="0"/>
        <v>45.347496585596836</v>
      </c>
    </row>
    <row r="10" spans="1:5">
      <c r="A10" t="s">
        <v>31</v>
      </c>
      <c r="B10" s="7">
        <f>AVERAGE(B6:B9)</f>
        <v>50.519005662086833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6" workbookViewId="0">
      <selection activeCell="A23" sqref="A23"/>
    </sheetView>
  </sheetViews>
  <sheetFormatPr baseColWidth="10" defaultRowHeight="15" x14ac:dyDescent="0"/>
  <cols>
    <col min="1" max="1" width="32.1640625" bestFit="1" customWidth="1"/>
  </cols>
  <sheetData>
    <row r="1" spans="1:2">
      <c r="B1" t="s">
        <v>10</v>
      </c>
    </row>
    <row r="2" spans="1:2">
      <c r="A2" t="s">
        <v>3</v>
      </c>
      <c r="B2">
        <v>69</v>
      </c>
    </row>
    <row r="3" spans="1:2">
      <c r="A3" t="s">
        <v>4</v>
      </c>
      <c r="B3">
        <v>0.4</v>
      </c>
    </row>
    <row r="4" spans="1:2">
      <c r="A4" t="s">
        <v>5</v>
      </c>
      <c r="B4">
        <v>5</v>
      </c>
    </row>
    <row r="6" spans="1:2">
      <c r="A6" t="s">
        <v>6</v>
      </c>
      <c r="B6">
        <f>(B2/1000)/B4</f>
        <v>1.3800000000000002E-2</v>
      </c>
    </row>
    <row r="7" spans="1:2">
      <c r="A7" t="s">
        <v>7</v>
      </c>
      <c r="B7">
        <f>(B4*(1-B3)*(B2/1000)*(1/B4)) - 1</f>
        <v>-0.95860000000000001</v>
      </c>
    </row>
    <row r="9" spans="1:2">
      <c r="A9" t="s">
        <v>8</v>
      </c>
      <c r="B9" s="1">
        <f>-B6/B7</f>
        <v>1.43959941581473E-2</v>
      </c>
    </row>
    <row r="10" spans="1:2">
      <c r="A10" t="s">
        <v>9</v>
      </c>
      <c r="B10">
        <f>(B4*B9)/(1+B4*(1-B3)*B9)</f>
        <v>6.9000000000000006E-2</v>
      </c>
    </row>
    <row r="12" spans="1:2">
      <c r="A12" t="s">
        <v>11</v>
      </c>
      <c r="B12">
        <v>9424</v>
      </c>
    </row>
    <row r="13" spans="1:2">
      <c r="A13" t="s">
        <v>12</v>
      </c>
      <c r="B13">
        <f>B9*B12</f>
        <v>135.66784894638016</v>
      </c>
    </row>
    <row r="15" spans="1:2">
      <c r="A15" t="s">
        <v>13</v>
      </c>
      <c r="B15">
        <f>(B12*B2)/1000</f>
        <v>650.25599999999997</v>
      </c>
    </row>
    <row r="16" spans="1:2">
      <c r="A16" s="2" t="s">
        <v>14</v>
      </c>
      <c r="B16">
        <f>B15/5</f>
        <v>130.05119999999999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Jake's assumptions</vt:lpstr>
      <vt:lpstr>Natalie's assumptions</vt:lpstr>
      <vt:lpstr>Marginal cost - Jake</vt:lpstr>
      <vt:lpstr>Marginal cost - Natalie</vt:lpstr>
      <vt:lpstr>Mortality decline</vt:lpstr>
      <vt:lpstr>Mortality rate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2014-09-11T23:36:11Z</dcterms:created>
  <dcterms:modified xsi:type="dcterms:W3CDTF">2014-10-21T15:26:55Z</dcterms:modified>
</cp:coreProperties>
</file>