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5007"/>
  <workbookPr filterPrivacy="1" autoCompressPictures="0"/>
  <bookViews>
    <workbookView xWindow="8880" yWindow="0" windowWidth="28340" windowHeight="20240" activeTab="1"/>
  </bookViews>
  <sheets>
    <sheet name="Summary" sheetId="5" r:id="rId1"/>
    <sheet name="Model" sheetId="14" r:id="rId2"/>
    <sheet name="Parameters" sheetId="2" r:id="rId3"/>
    <sheet name="Sources referenced" sheetId="3" r:id="rId4"/>
    <sheet name="Elie" sheetId="28" r:id="rId5"/>
    <sheet name="Alexander" sheetId="23" r:id="rId6"/>
    <sheet name="Holden" sheetId="29" r:id="rId7"/>
    <sheet name="Sean" sheetId="24" r:id="rId8"/>
    <sheet name="Ben" sheetId="30" r:id="rId9"/>
    <sheet name="Jake" sheetId="26" r:id="rId10"/>
    <sheet name="Tim" sheetId="32" r:id="rId11"/>
    <sheet name="Optimistic deworming, iodine" sheetId="21" r:id="rId12"/>
    <sheet name="Pessimistic deworming, iodine" sheetId="22" r:id="rId1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R5" i="32" l="1"/>
  <c r="AR6" i="32"/>
  <c r="AR7" i="32"/>
  <c r="AR8" i="32"/>
  <c r="AR9" i="32"/>
  <c r="AR10" i="32"/>
  <c r="AR11" i="32"/>
  <c r="AR12" i="32"/>
  <c r="AR13" i="32"/>
  <c r="AR14" i="32"/>
  <c r="AR15" i="32"/>
  <c r="AR16" i="32"/>
  <c r="AR17" i="32"/>
  <c r="AR18" i="32"/>
  <c r="AR19" i="32"/>
  <c r="AR20" i="32"/>
  <c r="AR21" i="32"/>
  <c r="AR22" i="32"/>
  <c r="AR23" i="32"/>
  <c r="AR24" i="32"/>
  <c r="AR25" i="32"/>
  <c r="AR26" i="32"/>
  <c r="AR27" i="32"/>
  <c r="AR28" i="32"/>
  <c r="AR29" i="32"/>
  <c r="AR30" i="32"/>
  <c r="AR33" i="32"/>
  <c r="AR34" i="32"/>
  <c r="AR35" i="32"/>
  <c r="AR36" i="32"/>
  <c r="AR37" i="32"/>
  <c r="AR38" i="32"/>
  <c r="AR39" i="32"/>
  <c r="AR40" i="32"/>
  <c r="AR41" i="32"/>
  <c r="AR42" i="32"/>
  <c r="AR43" i="32"/>
  <c r="AR44" i="32"/>
  <c r="AR45" i="32"/>
  <c r="AR46" i="32"/>
  <c r="AR47" i="32"/>
  <c r="AR48" i="32"/>
  <c r="AR49" i="32"/>
  <c r="AR50" i="32"/>
  <c r="AR51" i="32"/>
  <c r="AR52" i="32"/>
  <c r="AR53" i="32"/>
  <c r="AR54" i="32"/>
  <c r="AR55" i="32"/>
  <c r="AR56" i="32"/>
  <c r="AR57" i="32"/>
  <c r="AR58" i="32"/>
  <c r="AR59" i="32"/>
  <c r="AR60" i="32"/>
  <c r="AR61" i="32"/>
  <c r="AR62" i="32"/>
  <c r="AR63" i="32"/>
  <c r="AR64" i="32"/>
  <c r="AR65" i="32"/>
  <c r="AR66" i="32"/>
  <c r="AR67" i="32"/>
  <c r="AR68" i="32"/>
  <c r="AR69" i="32"/>
  <c r="AR70" i="32"/>
  <c r="AR71" i="32"/>
  <c r="AR72" i="32"/>
  <c r="AR73" i="32"/>
  <c r="AR74" i="32"/>
  <c r="AR75" i="32"/>
  <c r="AR76" i="32"/>
  <c r="AR77" i="32"/>
  <c r="AR78" i="32"/>
  <c r="AR79" i="32"/>
  <c r="AR80" i="32"/>
  <c r="AR81" i="32"/>
  <c r="AR82" i="32"/>
  <c r="AR83" i="32"/>
  <c r="AR84" i="32"/>
  <c r="AR85" i="32"/>
  <c r="AR86" i="32"/>
  <c r="AR87" i="32"/>
  <c r="AR88" i="32"/>
  <c r="AR89" i="32"/>
  <c r="AR90" i="32"/>
  <c r="AR91" i="32"/>
  <c r="AR92" i="32"/>
  <c r="AR93" i="32"/>
  <c r="AR94" i="32"/>
  <c r="AR95" i="32"/>
  <c r="AR96" i="32"/>
  <c r="AR97" i="32"/>
  <c r="AR98" i="32"/>
  <c r="AR99" i="32"/>
  <c r="AR100" i="32"/>
  <c r="AR101" i="32"/>
  <c r="AR102" i="32"/>
  <c r="AR103" i="32"/>
  <c r="AR104" i="32"/>
  <c r="AR105" i="32"/>
  <c r="AR106" i="32"/>
  <c r="AR107" i="32"/>
  <c r="AR108" i="32"/>
  <c r="AR109" i="32"/>
  <c r="AR110" i="32"/>
  <c r="AR111" i="32"/>
  <c r="AR112" i="32"/>
  <c r="AR113" i="32"/>
  <c r="AY113" i="32"/>
  <c r="AS113" i="32"/>
  <c r="AU113" i="32"/>
  <c r="AV113" i="32"/>
  <c r="AW113" i="32"/>
  <c r="AX113" i="32"/>
  <c r="AY112" i="32"/>
  <c r="AS112" i="32"/>
  <c r="AU112" i="32"/>
  <c r="AV112" i="32"/>
  <c r="AW112" i="32"/>
  <c r="AX112" i="32"/>
  <c r="AY111" i="32"/>
  <c r="AS111" i="32"/>
  <c r="AU111" i="32"/>
  <c r="AV111" i="32"/>
  <c r="AW111" i="32"/>
  <c r="AX111" i="32"/>
  <c r="AY110" i="32"/>
  <c r="AS110" i="32"/>
  <c r="AU110" i="32"/>
  <c r="AV110" i="32"/>
  <c r="AW110" i="32"/>
  <c r="AX110" i="32"/>
  <c r="AY109" i="32"/>
  <c r="AS109" i="32"/>
  <c r="AU109" i="32"/>
  <c r="AV109" i="32"/>
  <c r="AW109" i="32"/>
  <c r="AX109" i="32"/>
  <c r="AY108" i="32"/>
  <c r="AS108" i="32"/>
  <c r="AU108" i="32"/>
  <c r="AV108" i="32"/>
  <c r="AW108" i="32"/>
  <c r="AX108" i="32"/>
  <c r="AY107" i="32"/>
  <c r="AS107" i="32"/>
  <c r="AU107" i="32"/>
  <c r="AV107" i="32"/>
  <c r="AW107" i="32"/>
  <c r="AX107" i="32"/>
  <c r="AY106" i="32"/>
  <c r="AS106" i="32"/>
  <c r="AU106" i="32"/>
  <c r="AV106" i="32"/>
  <c r="AW106" i="32"/>
  <c r="AX106" i="32"/>
  <c r="AY105" i="32"/>
  <c r="AS105" i="32"/>
  <c r="AU105" i="32"/>
  <c r="AV105" i="32"/>
  <c r="AW105" i="32"/>
  <c r="AX105" i="32"/>
  <c r="AY104" i="32"/>
  <c r="AS104" i="32"/>
  <c r="AU104" i="32"/>
  <c r="AV104" i="32"/>
  <c r="AW104" i="32"/>
  <c r="AX104" i="32"/>
  <c r="AY103" i="32"/>
  <c r="AS103" i="32"/>
  <c r="AU103" i="32"/>
  <c r="AV103" i="32"/>
  <c r="AW103" i="32"/>
  <c r="AX103" i="32"/>
  <c r="AY102" i="32"/>
  <c r="AS102" i="32"/>
  <c r="AU102" i="32"/>
  <c r="AV102" i="32"/>
  <c r="AW102" i="32"/>
  <c r="AX102" i="32"/>
  <c r="AY101" i="32"/>
  <c r="AS101" i="32"/>
  <c r="AU101" i="32"/>
  <c r="AV101" i="32"/>
  <c r="AW101" i="32"/>
  <c r="AX101" i="32"/>
  <c r="AY100" i="32"/>
  <c r="AS100" i="32"/>
  <c r="AU100" i="32"/>
  <c r="AV100" i="32"/>
  <c r="AW100" i="32"/>
  <c r="AX100" i="32"/>
  <c r="AY99" i="32"/>
  <c r="AS99" i="32"/>
  <c r="AU99" i="32"/>
  <c r="AV99" i="32"/>
  <c r="AW99" i="32"/>
  <c r="AX99" i="32"/>
  <c r="AY98" i="32"/>
  <c r="AS98" i="32"/>
  <c r="AU98" i="32"/>
  <c r="AV98" i="32"/>
  <c r="AW98" i="32"/>
  <c r="AX98" i="32"/>
  <c r="AY97" i="32"/>
  <c r="AS97" i="32"/>
  <c r="AU97" i="32"/>
  <c r="AV97" i="32"/>
  <c r="AW97" i="32"/>
  <c r="AX97" i="32"/>
  <c r="AY96" i="32"/>
  <c r="AS96" i="32"/>
  <c r="AU96" i="32"/>
  <c r="AV96" i="32"/>
  <c r="AW96" i="32"/>
  <c r="AX96" i="32"/>
  <c r="AY95" i="32"/>
  <c r="AS95" i="32"/>
  <c r="AU95" i="32"/>
  <c r="AV95" i="32"/>
  <c r="AW95" i="32"/>
  <c r="AX95" i="32"/>
  <c r="AY94" i="32"/>
  <c r="AS94" i="32"/>
  <c r="AU94" i="32"/>
  <c r="AV94" i="32"/>
  <c r="AW94" i="32"/>
  <c r="AX94" i="32"/>
  <c r="AY93" i="32"/>
  <c r="AS93" i="32"/>
  <c r="AU93" i="32"/>
  <c r="AV93" i="32"/>
  <c r="AW93" i="32"/>
  <c r="AX93" i="32"/>
  <c r="AY92" i="32"/>
  <c r="AS92" i="32"/>
  <c r="AU92" i="32"/>
  <c r="AV92" i="32"/>
  <c r="AW92" i="32"/>
  <c r="AX92" i="32"/>
  <c r="AY91" i="32"/>
  <c r="AS91" i="32"/>
  <c r="AU91" i="32"/>
  <c r="AV91" i="32"/>
  <c r="AW91" i="32"/>
  <c r="AX91" i="32"/>
  <c r="AY90" i="32"/>
  <c r="AS90" i="32"/>
  <c r="AU90" i="32"/>
  <c r="AV90" i="32"/>
  <c r="AW90" i="32"/>
  <c r="AX90" i="32"/>
  <c r="AY89" i="32"/>
  <c r="AS89" i="32"/>
  <c r="AU89" i="32"/>
  <c r="AV89" i="32"/>
  <c r="AW89" i="32"/>
  <c r="AX89" i="32"/>
  <c r="AY88" i="32"/>
  <c r="AS88" i="32"/>
  <c r="AU88" i="32"/>
  <c r="AV88" i="32"/>
  <c r="AW88" i="32"/>
  <c r="AX88" i="32"/>
  <c r="AY87" i="32"/>
  <c r="AS87" i="32"/>
  <c r="AU87" i="32"/>
  <c r="AV87" i="32"/>
  <c r="AW87" i="32"/>
  <c r="AX87" i="32"/>
  <c r="AY86" i="32"/>
  <c r="AS86" i="32"/>
  <c r="AU86" i="32"/>
  <c r="AV86" i="32"/>
  <c r="AW86" i="32"/>
  <c r="AX86" i="32"/>
  <c r="AY85" i="32"/>
  <c r="AS85" i="32"/>
  <c r="AU85" i="32"/>
  <c r="AV85" i="32"/>
  <c r="AW85" i="32"/>
  <c r="AX85" i="32"/>
  <c r="AY84" i="32"/>
  <c r="AS84" i="32"/>
  <c r="AU84" i="32"/>
  <c r="AV84" i="32"/>
  <c r="AW84" i="32"/>
  <c r="AX84" i="32"/>
  <c r="AY83" i="32"/>
  <c r="AS83" i="32"/>
  <c r="AU83" i="32"/>
  <c r="AV83" i="32"/>
  <c r="AW83" i="32"/>
  <c r="AX83" i="32"/>
  <c r="AY82" i="32"/>
  <c r="AS82" i="32"/>
  <c r="AU82" i="32"/>
  <c r="AV82" i="32"/>
  <c r="AW82" i="32"/>
  <c r="AX82" i="32"/>
  <c r="AY81" i="32"/>
  <c r="AS81" i="32"/>
  <c r="AU81" i="32"/>
  <c r="AV81" i="32"/>
  <c r="AW81" i="32"/>
  <c r="AX81" i="32"/>
  <c r="AY80" i="32"/>
  <c r="AS80" i="32"/>
  <c r="AU80" i="32"/>
  <c r="AV80" i="32"/>
  <c r="AW80" i="32"/>
  <c r="AX80" i="32"/>
  <c r="AY79" i="32"/>
  <c r="AS79" i="32"/>
  <c r="AU79" i="32"/>
  <c r="AV79" i="32"/>
  <c r="AW79" i="32"/>
  <c r="AX79" i="32"/>
  <c r="AY78" i="32"/>
  <c r="AS78" i="32"/>
  <c r="AU78" i="32"/>
  <c r="AV78" i="32"/>
  <c r="AW78" i="32"/>
  <c r="AX78" i="32"/>
  <c r="AY77" i="32"/>
  <c r="AS77" i="32"/>
  <c r="AU77" i="32"/>
  <c r="AV77" i="32"/>
  <c r="AW77" i="32"/>
  <c r="AX77" i="32"/>
  <c r="AY76" i="32"/>
  <c r="AS76" i="32"/>
  <c r="AU76" i="32"/>
  <c r="AV76" i="32"/>
  <c r="AW76" i="32"/>
  <c r="AX76" i="32"/>
  <c r="AY75" i="32"/>
  <c r="AS75" i="32"/>
  <c r="AU75" i="32"/>
  <c r="AV75" i="32"/>
  <c r="AW75" i="32"/>
  <c r="AX75" i="32"/>
  <c r="AY74" i="32"/>
  <c r="AS74" i="32"/>
  <c r="AU74" i="32"/>
  <c r="AV74" i="32"/>
  <c r="AW74" i="32"/>
  <c r="AX74" i="32"/>
  <c r="AY73" i="32"/>
  <c r="AS73" i="32"/>
  <c r="AU73" i="32"/>
  <c r="AV73" i="32"/>
  <c r="AW73" i="32"/>
  <c r="AX73" i="32"/>
  <c r="AY72" i="32"/>
  <c r="AS72" i="32"/>
  <c r="AU72" i="32"/>
  <c r="AV72" i="32"/>
  <c r="AW72" i="32"/>
  <c r="AX72" i="32"/>
  <c r="AY71" i="32"/>
  <c r="AS71" i="32"/>
  <c r="AU71" i="32"/>
  <c r="AV71" i="32"/>
  <c r="AW71" i="32"/>
  <c r="AX71" i="32"/>
  <c r="AY70" i="32"/>
  <c r="AS70" i="32"/>
  <c r="AU70" i="32"/>
  <c r="AV70" i="32"/>
  <c r="AW70" i="32"/>
  <c r="AX70" i="32"/>
  <c r="AY69" i="32"/>
  <c r="AS69" i="32"/>
  <c r="AU69" i="32"/>
  <c r="AV69" i="32"/>
  <c r="AW69" i="32"/>
  <c r="AX69" i="32"/>
  <c r="AY68" i="32"/>
  <c r="AS68" i="32"/>
  <c r="AU68" i="32"/>
  <c r="AV68" i="32"/>
  <c r="AW68" i="32"/>
  <c r="AX68" i="32"/>
  <c r="AY67" i="32"/>
  <c r="AS67" i="32"/>
  <c r="AU67" i="32"/>
  <c r="AV67" i="32"/>
  <c r="AW67" i="32"/>
  <c r="AX67" i="32"/>
  <c r="AY66" i="32"/>
  <c r="AS66" i="32"/>
  <c r="AU66" i="32"/>
  <c r="AV66" i="32"/>
  <c r="AW66" i="32"/>
  <c r="AX66" i="32"/>
  <c r="AY65" i="32"/>
  <c r="AS65" i="32"/>
  <c r="AU65" i="32"/>
  <c r="AV65" i="32"/>
  <c r="AW65" i="32"/>
  <c r="AX65" i="32"/>
  <c r="AY64" i="32"/>
  <c r="AS64" i="32"/>
  <c r="AU64" i="32"/>
  <c r="AV64" i="32"/>
  <c r="AW64" i="32"/>
  <c r="AX64" i="32"/>
  <c r="AY63" i="32"/>
  <c r="AS63" i="32"/>
  <c r="AU63" i="32"/>
  <c r="AV63" i="32"/>
  <c r="AW63" i="32"/>
  <c r="AX63" i="32"/>
  <c r="AY62" i="32"/>
  <c r="AS62" i="32"/>
  <c r="AU62" i="32"/>
  <c r="AV62" i="32"/>
  <c r="AW62" i="32"/>
  <c r="AX62" i="32"/>
  <c r="AY61" i="32"/>
  <c r="AS61" i="32"/>
  <c r="AU61" i="32"/>
  <c r="AV61" i="32"/>
  <c r="AW61" i="32"/>
  <c r="AX61" i="32"/>
  <c r="AY60" i="32"/>
  <c r="AS60" i="32"/>
  <c r="AU60" i="32"/>
  <c r="AV60" i="32"/>
  <c r="AW60" i="32"/>
  <c r="AX60" i="32"/>
  <c r="AY59" i="32"/>
  <c r="AS59" i="32"/>
  <c r="AU59" i="32"/>
  <c r="AV59" i="32"/>
  <c r="AW59" i="32"/>
  <c r="AX59" i="32"/>
  <c r="AY58" i="32"/>
  <c r="AS58" i="32"/>
  <c r="AU58" i="32"/>
  <c r="AV58" i="32"/>
  <c r="AW58" i="32"/>
  <c r="AX58" i="32"/>
  <c r="AY57" i="32"/>
  <c r="AS57" i="32"/>
  <c r="AU57" i="32"/>
  <c r="AV57" i="32"/>
  <c r="AW57" i="32"/>
  <c r="AX57" i="32"/>
  <c r="AY56" i="32"/>
  <c r="AS56" i="32"/>
  <c r="AU56" i="32"/>
  <c r="AV56" i="32"/>
  <c r="AW56" i="32"/>
  <c r="AX56" i="32"/>
  <c r="AY55" i="32"/>
  <c r="AS55" i="32"/>
  <c r="AU55" i="32"/>
  <c r="AV55" i="32"/>
  <c r="AW55" i="32"/>
  <c r="AX55" i="32"/>
  <c r="AY54" i="32"/>
  <c r="AS54" i="32"/>
  <c r="AU54" i="32"/>
  <c r="AV54" i="32"/>
  <c r="AW54" i="32"/>
  <c r="AX54" i="32"/>
  <c r="AY53" i="32"/>
  <c r="AS53" i="32"/>
  <c r="AU53" i="32"/>
  <c r="AV53" i="32"/>
  <c r="AW53" i="32"/>
  <c r="AX53" i="32"/>
  <c r="AY52" i="32"/>
  <c r="AS52" i="32"/>
  <c r="AU52" i="32"/>
  <c r="AV52" i="32"/>
  <c r="AW52" i="32"/>
  <c r="AX52" i="32"/>
  <c r="AY51" i="32"/>
  <c r="AS51" i="32"/>
  <c r="AU51" i="32"/>
  <c r="AV51" i="32"/>
  <c r="AW51" i="32"/>
  <c r="AX51" i="32"/>
  <c r="AY50" i="32"/>
  <c r="AS50" i="32"/>
  <c r="AU50" i="32"/>
  <c r="AV50" i="32"/>
  <c r="AW50" i="32"/>
  <c r="AX50" i="32"/>
  <c r="AY49" i="32"/>
  <c r="AS49" i="32"/>
  <c r="AU49" i="32"/>
  <c r="AV49" i="32"/>
  <c r="AW49" i="32"/>
  <c r="AX49" i="32"/>
  <c r="AY48" i="32"/>
  <c r="AS48" i="32"/>
  <c r="AU48" i="32"/>
  <c r="AV48" i="32"/>
  <c r="AW48" i="32"/>
  <c r="AX48" i="32"/>
  <c r="AY47" i="32"/>
  <c r="AS47" i="32"/>
  <c r="AU47" i="32"/>
  <c r="AV47" i="32"/>
  <c r="AW47" i="32"/>
  <c r="AX47" i="32"/>
  <c r="AY46" i="32"/>
  <c r="AS46" i="32"/>
  <c r="AU46" i="32"/>
  <c r="AV46" i="32"/>
  <c r="AW46" i="32"/>
  <c r="AX46" i="32"/>
  <c r="AY45" i="32"/>
  <c r="AS45" i="32"/>
  <c r="AU45" i="32"/>
  <c r="AV45" i="32"/>
  <c r="AW45" i="32"/>
  <c r="AX45" i="32"/>
  <c r="AY44" i="32"/>
  <c r="AS44" i="32"/>
  <c r="AU44" i="32"/>
  <c r="AV44" i="32"/>
  <c r="AW44" i="32"/>
  <c r="AX44" i="32"/>
  <c r="AY43" i="32"/>
  <c r="AS43" i="32"/>
  <c r="AU43" i="32"/>
  <c r="AV43" i="32"/>
  <c r="AW43" i="32"/>
  <c r="AX43" i="32"/>
  <c r="AY42" i="32"/>
  <c r="AS42" i="32"/>
  <c r="AU42" i="32"/>
  <c r="AV42" i="32"/>
  <c r="AW42" i="32"/>
  <c r="AX42" i="32"/>
  <c r="AY41" i="32"/>
  <c r="AS41" i="32"/>
  <c r="AU41" i="32"/>
  <c r="AV41" i="32"/>
  <c r="AW41" i="32"/>
  <c r="AX41" i="32"/>
  <c r="AY40" i="32"/>
  <c r="AS40" i="32"/>
  <c r="AU40" i="32"/>
  <c r="AV40" i="32"/>
  <c r="AW40" i="32"/>
  <c r="AX40" i="32"/>
  <c r="AY39" i="32"/>
  <c r="AS39" i="32"/>
  <c r="AU39" i="32"/>
  <c r="AV39" i="32"/>
  <c r="AW39" i="32"/>
  <c r="AX39" i="32"/>
  <c r="AY38" i="32"/>
  <c r="AS38" i="32"/>
  <c r="AU38" i="32"/>
  <c r="AV38" i="32"/>
  <c r="AW38" i="32"/>
  <c r="AX38" i="32"/>
  <c r="AY37" i="32"/>
  <c r="AS37" i="32"/>
  <c r="AU37" i="32"/>
  <c r="AV37" i="32"/>
  <c r="AW37" i="32"/>
  <c r="AX37" i="32"/>
  <c r="AY36" i="32"/>
  <c r="AS36" i="32"/>
  <c r="AU36" i="32"/>
  <c r="AV36" i="32"/>
  <c r="AW36" i="32"/>
  <c r="AX36" i="32"/>
  <c r="U36" i="32"/>
  <c r="AY35" i="32"/>
  <c r="AS35" i="32"/>
  <c r="AU35" i="32"/>
  <c r="AV35" i="32"/>
  <c r="AW35" i="32"/>
  <c r="AX35" i="32"/>
  <c r="AY34" i="32"/>
  <c r="AS34" i="32"/>
  <c r="AU34" i="32"/>
  <c r="AV34" i="32"/>
  <c r="AW34" i="32"/>
  <c r="AX34" i="32"/>
  <c r="AY33" i="32"/>
  <c r="AS33" i="32"/>
  <c r="AU33" i="32"/>
  <c r="AV33" i="32"/>
  <c r="AW33" i="32"/>
  <c r="AX33" i="32"/>
  <c r="S16" i="32"/>
  <c r="V16" i="32"/>
  <c r="I33" i="32"/>
  <c r="S15" i="32"/>
  <c r="T15" i="32"/>
  <c r="V15" i="32"/>
  <c r="I32" i="32"/>
  <c r="R6" i="32"/>
  <c r="S6" i="32"/>
  <c r="T6" i="32"/>
  <c r="S11" i="32"/>
  <c r="T11" i="32"/>
  <c r="W27" i="32"/>
  <c r="R5" i="32"/>
  <c r="S5" i="32"/>
  <c r="T5" i="32"/>
  <c r="W23" i="32"/>
  <c r="W31" i="32"/>
  <c r="S14" i="32"/>
  <c r="T14" i="32"/>
  <c r="V14" i="32"/>
  <c r="I31" i="32"/>
  <c r="AY30" i="32"/>
  <c r="AS30" i="32"/>
  <c r="AU30" i="32"/>
  <c r="AV30" i="32"/>
  <c r="AW30" i="32"/>
  <c r="AX30" i="32"/>
  <c r="G11" i="32"/>
  <c r="V5" i="32"/>
  <c r="S10" i="32"/>
  <c r="T10" i="32"/>
  <c r="W25" i="32"/>
  <c r="W30" i="32"/>
  <c r="AY29" i="32"/>
  <c r="AS29" i="32"/>
  <c r="AU29" i="32"/>
  <c r="AV29" i="32"/>
  <c r="AW29" i="32"/>
  <c r="AX29" i="32"/>
  <c r="S9" i="32"/>
  <c r="T9" i="32"/>
  <c r="W24" i="32"/>
  <c r="W29" i="32"/>
  <c r="I23" i="32"/>
  <c r="AS4" i="32"/>
  <c r="AT4" i="32"/>
  <c r="AS5" i="32"/>
  <c r="AU5" i="32"/>
  <c r="AW5" i="32"/>
  <c r="AX5" i="32"/>
  <c r="AY5" i="32"/>
  <c r="AV5" i="32"/>
  <c r="AS6" i="32"/>
  <c r="AU6" i="32"/>
  <c r="AW6" i="32"/>
  <c r="AX6" i="32"/>
  <c r="AY6" i="32"/>
  <c r="AV6" i="32"/>
  <c r="AS7" i="32"/>
  <c r="AU7" i="32"/>
  <c r="AW7" i="32"/>
  <c r="AX7" i="32"/>
  <c r="AY7" i="32"/>
  <c r="AV7" i="32"/>
  <c r="AS8" i="32"/>
  <c r="AU8" i="32"/>
  <c r="AW8" i="32"/>
  <c r="AX8" i="32"/>
  <c r="AY8" i="32"/>
  <c r="AV8" i="32"/>
  <c r="AS9" i="32"/>
  <c r="AU9" i="32"/>
  <c r="AW9" i="32"/>
  <c r="AX9" i="32"/>
  <c r="AY9" i="32"/>
  <c r="AV9" i="32"/>
  <c r="AS10" i="32"/>
  <c r="AU10" i="32"/>
  <c r="AW10" i="32"/>
  <c r="AX10" i="32"/>
  <c r="AY10" i="32"/>
  <c r="AV10" i="32"/>
  <c r="AS11" i="32"/>
  <c r="AU11" i="32"/>
  <c r="AW11" i="32"/>
  <c r="AX11" i="32"/>
  <c r="AY11" i="32"/>
  <c r="AV11" i="32"/>
  <c r="AS12" i="32"/>
  <c r="AU12" i="32"/>
  <c r="AW12" i="32"/>
  <c r="AX12" i="32"/>
  <c r="AY12" i="32"/>
  <c r="AV12" i="32"/>
  <c r="AS13" i="32"/>
  <c r="AU13" i="32"/>
  <c r="AW13" i="32"/>
  <c r="AX13" i="32"/>
  <c r="AY13" i="32"/>
  <c r="AV13" i="32"/>
  <c r="AS14" i="32"/>
  <c r="AU14" i="32"/>
  <c r="AW14" i="32"/>
  <c r="AX14" i="32"/>
  <c r="AY14" i="32"/>
  <c r="AV14" i="32"/>
  <c r="AS15" i="32"/>
  <c r="AU15" i="32"/>
  <c r="AW15" i="32"/>
  <c r="AX15" i="32"/>
  <c r="AY15" i="32"/>
  <c r="AV15" i="32"/>
  <c r="AS16" i="32"/>
  <c r="AU16" i="32"/>
  <c r="AW16" i="32"/>
  <c r="AX16" i="32"/>
  <c r="AY16" i="32"/>
  <c r="AV16" i="32"/>
  <c r="AS17" i="32"/>
  <c r="AU17" i="32"/>
  <c r="AW17" i="32"/>
  <c r="AX17" i="32"/>
  <c r="AY17" i="32"/>
  <c r="AV17" i="32"/>
  <c r="AS18" i="32"/>
  <c r="AU18" i="32"/>
  <c r="AW18" i="32"/>
  <c r="AX18" i="32"/>
  <c r="AY18" i="32"/>
  <c r="AV18" i="32"/>
  <c r="AS19" i="32"/>
  <c r="AU19" i="32"/>
  <c r="AV19" i="32"/>
  <c r="AW19" i="32"/>
  <c r="AX19" i="32"/>
  <c r="AY19" i="32"/>
  <c r="AY20" i="32"/>
  <c r="AY21" i="32"/>
  <c r="AY22" i="32"/>
  <c r="AY23" i="32"/>
  <c r="AY24" i="32"/>
  <c r="AY25" i="32"/>
  <c r="AY26" i="32"/>
  <c r="AY27" i="32"/>
  <c r="AY28" i="32"/>
  <c r="AZ5" i="32"/>
  <c r="R19" i="32"/>
  <c r="AW4" i="32"/>
  <c r="AX4" i="32"/>
  <c r="AY4" i="32"/>
  <c r="S19" i="32"/>
  <c r="T19" i="32"/>
  <c r="V19" i="32"/>
  <c r="I24" i="32"/>
  <c r="G29" i="32"/>
  <c r="AS28" i="32"/>
  <c r="AU28" i="32"/>
  <c r="AV28" i="32"/>
  <c r="AW28" i="32"/>
  <c r="AX28" i="32"/>
  <c r="I22" i="32"/>
  <c r="G28" i="32"/>
  <c r="AS27" i="32"/>
  <c r="AU27" i="32"/>
  <c r="AV27" i="32"/>
  <c r="AW27" i="32"/>
  <c r="AX27" i="32"/>
  <c r="I21" i="32"/>
  <c r="G27" i="32"/>
  <c r="AS26" i="32"/>
  <c r="AU26" i="32"/>
  <c r="AV26" i="32"/>
  <c r="AW26" i="32"/>
  <c r="AX26" i="32"/>
  <c r="W26" i="32"/>
  <c r="AS25" i="32"/>
  <c r="AU25" i="32"/>
  <c r="AV25" i="32"/>
  <c r="AW25" i="32"/>
  <c r="AX25" i="32"/>
  <c r="S25" i="32"/>
  <c r="I25" i="32"/>
  <c r="AS24" i="32"/>
  <c r="AU24" i="32"/>
  <c r="AV24" i="32"/>
  <c r="AW24" i="32"/>
  <c r="AX24" i="32"/>
  <c r="S24" i="32"/>
  <c r="AS23" i="32"/>
  <c r="AU23" i="32"/>
  <c r="AV23" i="32"/>
  <c r="AW23" i="32"/>
  <c r="AX23" i="32"/>
  <c r="S23" i="32"/>
  <c r="AS22" i="32"/>
  <c r="AU22" i="32"/>
  <c r="AV22" i="32"/>
  <c r="AW22" i="32"/>
  <c r="AX22" i="32"/>
  <c r="AS21" i="32"/>
  <c r="AU21" i="32"/>
  <c r="AV21" i="32"/>
  <c r="AW21" i="32"/>
  <c r="AX21" i="32"/>
  <c r="AS20" i="32"/>
  <c r="AU20" i="32"/>
  <c r="AV20" i="32"/>
  <c r="AW20" i="32"/>
  <c r="AX20" i="32"/>
  <c r="W16" i="32"/>
  <c r="W15" i="32"/>
  <c r="W14" i="32"/>
  <c r="BA5" i="32"/>
  <c r="U36" i="30"/>
  <c r="S16" i="30"/>
  <c r="V16" i="30"/>
  <c r="W16" i="30"/>
  <c r="T15" i="30"/>
  <c r="T14" i="30"/>
  <c r="J10" i="30"/>
  <c r="G7" i="30"/>
  <c r="S15" i="30"/>
  <c r="V15" i="30"/>
  <c r="AR6" i="30"/>
  <c r="S6" i="30"/>
  <c r="T6" i="30"/>
  <c r="S11" i="30"/>
  <c r="T11" i="30"/>
  <c r="W27" i="30"/>
  <c r="R6" i="30"/>
  <c r="AR5" i="30"/>
  <c r="V5" i="30"/>
  <c r="R5" i="30"/>
  <c r="S5" i="30"/>
  <c r="AT4" i="30"/>
  <c r="AS4" i="30"/>
  <c r="W15" i="30"/>
  <c r="I32" i="30"/>
  <c r="T5" i="30"/>
  <c r="AR7" i="30"/>
  <c r="S14" i="30"/>
  <c r="V14" i="30"/>
  <c r="I23" i="30"/>
  <c r="I33" i="30"/>
  <c r="AW4" i="30"/>
  <c r="AX4" i="30"/>
  <c r="AY4" i="30"/>
  <c r="S19" i="30"/>
  <c r="AS5" i="30"/>
  <c r="S14" i="22"/>
  <c r="T9" i="22"/>
  <c r="S14" i="21"/>
  <c r="S9" i="21"/>
  <c r="T9" i="21"/>
  <c r="S14" i="29"/>
  <c r="T9" i="29"/>
  <c r="T11" i="29"/>
  <c r="J8" i="28"/>
  <c r="V5" i="29"/>
  <c r="R5" i="29"/>
  <c r="S5" i="29"/>
  <c r="T5" i="29"/>
  <c r="S9" i="29"/>
  <c r="I21" i="29"/>
  <c r="J8" i="29"/>
  <c r="S10" i="29"/>
  <c r="T10" i="29"/>
  <c r="I22" i="29"/>
  <c r="R6" i="29"/>
  <c r="S6" i="29"/>
  <c r="T6" i="29"/>
  <c r="S11" i="29"/>
  <c r="I23" i="29"/>
  <c r="AR5" i="29"/>
  <c r="AR6" i="29"/>
  <c r="AS4" i="29"/>
  <c r="AT4" i="29"/>
  <c r="AS5" i="29"/>
  <c r="AU5" i="29"/>
  <c r="AW5" i="29"/>
  <c r="AX5" i="29"/>
  <c r="AY5" i="29"/>
  <c r="AR7" i="29"/>
  <c r="AV5" i="29"/>
  <c r="AS6" i="29"/>
  <c r="AU6" i="29"/>
  <c r="AW6" i="29"/>
  <c r="AX6" i="29"/>
  <c r="AY6" i="29"/>
  <c r="AR8" i="29"/>
  <c r="AV6" i="29"/>
  <c r="AS7" i="29"/>
  <c r="AU7" i="29"/>
  <c r="AW7" i="29"/>
  <c r="AX7" i="29"/>
  <c r="AY7" i="29"/>
  <c r="AR9" i="29"/>
  <c r="AV7" i="29"/>
  <c r="AS8" i="29"/>
  <c r="AU8" i="29"/>
  <c r="AW8" i="29"/>
  <c r="AX8" i="29"/>
  <c r="AY8" i="29"/>
  <c r="AR10" i="29"/>
  <c r="AV8" i="29"/>
  <c r="AS9" i="29"/>
  <c r="AU9" i="29"/>
  <c r="AW9" i="29"/>
  <c r="AX9" i="29"/>
  <c r="AY9" i="29"/>
  <c r="AR11" i="29"/>
  <c r="AV9" i="29"/>
  <c r="AS10" i="29"/>
  <c r="AU10" i="29"/>
  <c r="AW10" i="29"/>
  <c r="AX10" i="29"/>
  <c r="AY10" i="29"/>
  <c r="AR12" i="29"/>
  <c r="AV10" i="29"/>
  <c r="AS11" i="29"/>
  <c r="AU11" i="29"/>
  <c r="AW11" i="29"/>
  <c r="AX11" i="29"/>
  <c r="AY11" i="29"/>
  <c r="AR13" i="29"/>
  <c r="AV11" i="29"/>
  <c r="AS12" i="29"/>
  <c r="AU12" i="29"/>
  <c r="AW12" i="29"/>
  <c r="AX12" i="29"/>
  <c r="AY12" i="29"/>
  <c r="AR14" i="29"/>
  <c r="AV12" i="29"/>
  <c r="AS13" i="29"/>
  <c r="AU13" i="29"/>
  <c r="AW13" i="29"/>
  <c r="AX13" i="29"/>
  <c r="AY13" i="29"/>
  <c r="AR15" i="29"/>
  <c r="AV13" i="29"/>
  <c r="AS14" i="29"/>
  <c r="AU14" i="29"/>
  <c r="AW14" i="29"/>
  <c r="AX14" i="29"/>
  <c r="AY14" i="29"/>
  <c r="AR16" i="29"/>
  <c r="AV14" i="29"/>
  <c r="AS15" i="29"/>
  <c r="AU15" i="29"/>
  <c r="AW15" i="29"/>
  <c r="AX15" i="29"/>
  <c r="AY15" i="29"/>
  <c r="AR17" i="29"/>
  <c r="AV15" i="29"/>
  <c r="AS16" i="29"/>
  <c r="AU16" i="29"/>
  <c r="AW16" i="29"/>
  <c r="AX16" i="29"/>
  <c r="AY16" i="29"/>
  <c r="AR18" i="29"/>
  <c r="AV16" i="29"/>
  <c r="AS17" i="29"/>
  <c r="AU17" i="29"/>
  <c r="AW17" i="29"/>
  <c r="AX17" i="29"/>
  <c r="AY17" i="29"/>
  <c r="AR19" i="29"/>
  <c r="AV17" i="29"/>
  <c r="AS18" i="29"/>
  <c r="AU18" i="29"/>
  <c r="AW18" i="29"/>
  <c r="AX18" i="29"/>
  <c r="AY18" i="29"/>
  <c r="AR20" i="29"/>
  <c r="AV18" i="29"/>
  <c r="AS19" i="29"/>
  <c r="AU19" i="29"/>
  <c r="AW19" i="29"/>
  <c r="AX19" i="29"/>
  <c r="AY19" i="29"/>
  <c r="AR21" i="29"/>
  <c r="AV19" i="29"/>
  <c r="AS20" i="29"/>
  <c r="AU20" i="29"/>
  <c r="AW20" i="29"/>
  <c r="AX20" i="29"/>
  <c r="AY20" i="29"/>
  <c r="AR22" i="29"/>
  <c r="AV20" i="29"/>
  <c r="AS21" i="29"/>
  <c r="AU21" i="29"/>
  <c r="AW21" i="29"/>
  <c r="AX21" i="29"/>
  <c r="AY21" i="29"/>
  <c r="AR23" i="29"/>
  <c r="AV21" i="29"/>
  <c r="AS22" i="29"/>
  <c r="AU22" i="29"/>
  <c r="AW22" i="29"/>
  <c r="AX22" i="29"/>
  <c r="AY22" i="29"/>
  <c r="AR24" i="29"/>
  <c r="AV22" i="29"/>
  <c r="AS23" i="29"/>
  <c r="AU23" i="29"/>
  <c r="AW23" i="29"/>
  <c r="AX23" i="29"/>
  <c r="AY23" i="29"/>
  <c r="AR25" i="29"/>
  <c r="AV23" i="29"/>
  <c r="AS24" i="29"/>
  <c r="AU24" i="29"/>
  <c r="AV24" i="29"/>
  <c r="AW24" i="29"/>
  <c r="AX24" i="29"/>
  <c r="AY24" i="29"/>
  <c r="AY25" i="29"/>
  <c r="AR26" i="29"/>
  <c r="AY26" i="29"/>
  <c r="AR27" i="29"/>
  <c r="AY27" i="29"/>
  <c r="AR28" i="29"/>
  <c r="AY28" i="29"/>
  <c r="AR29" i="29"/>
  <c r="AY29" i="29"/>
  <c r="AR30" i="29"/>
  <c r="AY30" i="29"/>
  <c r="AR33" i="29"/>
  <c r="AY33" i="29"/>
  <c r="AR34" i="29"/>
  <c r="AY34" i="29"/>
  <c r="AR35" i="29"/>
  <c r="AY35" i="29"/>
  <c r="AR36" i="29"/>
  <c r="AY36" i="29"/>
  <c r="AR37" i="29"/>
  <c r="AY37" i="29"/>
  <c r="AR38" i="29"/>
  <c r="AY38" i="29"/>
  <c r="AR39" i="29"/>
  <c r="AY39" i="29"/>
  <c r="AR40" i="29"/>
  <c r="AY40" i="29"/>
  <c r="AR41" i="29"/>
  <c r="AY41" i="29"/>
  <c r="AR42" i="29"/>
  <c r="AY42" i="29"/>
  <c r="AR43" i="29"/>
  <c r="AY43" i="29"/>
  <c r="AR44" i="29"/>
  <c r="AY44" i="29"/>
  <c r="AR45" i="29"/>
  <c r="AY45" i="29"/>
  <c r="AR46" i="29"/>
  <c r="AY46" i="29"/>
  <c r="AR47" i="29"/>
  <c r="AY47" i="29"/>
  <c r="AR48" i="29"/>
  <c r="AY48" i="29"/>
  <c r="AR49" i="29"/>
  <c r="AY49" i="29"/>
  <c r="AR50" i="29"/>
  <c r="AY50" i="29"/>
  <c r="AR51" i="29"/>
  <c r="AY51" i="29"/>
  <c r="AR52" i="29"/>
  <c r="AY52" i="29"/>
  <c r="AR53" i="29"/>
  <c r="AY53" i="29"/>
  <c r="AR54" i="29"/>
  <c r="AY54" i="29"/>
  <c r="AR55" i="29"/>
  <c r="AY55" i="29"/>
  <c r="AR56" i="29"/>
  <c r="AY56" i="29"/>
  <c r="AR57" i="29"/>
  <c r="AY57" i="29"/>
  <c r="AR58" i="29"/>
  <c r="AY58" i="29"/>
  <c r="AR59" i="29"/>
  <c r="AY59" i="29"/>
  <c r="AR60" i="29"/>
  <c r="AY60" i="29"/>
  <c r="AR61" i="29"/>
  <c r="AY61" i="29"/>
  <c r="AR62" i="29"/>
  <c r="AY62" i="29"/>
  <c r="AR63" i="29"/>
  <c r="AY63" i="29"/>
  <c r="AR64" i="29"/>
  <c r="AY64" i="29"/>
  <c r="AR65" i="29"/>
  <c r="AY65" i="29"/>
  <c r="AR66" i="29"/>
  <c r="AY66" i="29"/>
  <c r="AR67" i="29"/>
  <c r="AY67" i="29"/>
  <c r="AR68" i="29"/>
  <c r="AY68" i="29"/>
  <c r="AR69" i="29"/>
  <c r="AY69" i="29"/>
  <c r="AR70" i="29"/>
  <c r="AY70" i="29"/>
  <c r="AR71" i="29"/>
  <c r="AY71" i="29"/>
  <c r="AR72" i="29"/>
  <c r="AY72" i="29"/>
  <c r="AR73" i="29"/>
  <c r="AY73" i="29"/>
  <c r="AR74" i="29"/>
  <c r="AY74" i="29"/>
  <c r="AR75" i="29"/>
  <c r="AY75" i="29"/>
  <c r="AR76" i="29"/>
  <c r="AY76" i="29"/>
  <c r="AR77" i="29"/>
  <c r="AY77" i="29"/>
  <c r="AR78" i="29"/>
  <c r="AY78" i="29"/>
  <c r="AR79" i="29"/>
  <c r="AY79" i="29"/>
  <c r="AR80" i="29"/>
  <c r="AY80" i="29"/>
  <c r="AR81" i="29"/>
  <c r="AY81" i="29"/>
  <c r="AR82" i="29"/>
  <c r="AY82" i="29"/>
  <c r="AR83" i="29"/>
  <c r="AY83" i="29"/>
  <c r="AR84" i="29"/>
  <c r="AY84" i="29"/>
  <c r="AR85" i="29"/>
  <c r="AY85" i="29"/>
  <c r="AR86" i="29"/>
  <c r="AY86" i="29"/>
  <c r="AR87" i="29"/>
  <c r="AY87" i="29"/>
  <c r="AR88" i="29"/>
  <c r="AY88" i="29"/>
  <c r="AR89" i="29"/>
  <c r="AY89" i="29"/>
  <c r="AR90" i="29"/>
  <c r="AY90" i="29"/>
  <c r="AR91" i="29"/>
  <c r="AY91" i="29"/>
  <c r="AR92" i="29"/>
  <c r="AY92" i="29"/>
  <c r="AR93" i="29"/>
  <c r="AY93" i="29"/>
  <c r="AR94" i="29"/>
  <c r="AY94" i="29"/>
  <c r="AR95" i="29"/>
  <c r="AY95" i="29"/>
  <c r="AR96" i="29"/>
  <c r="AY96" i="29"/>
  <c r="AR97" i="29"/>
  <c r="AY97" i="29"/>
  <c r="AR98" i="29"/>
  <c r="AY98" i="29"/>
  <c r="AR99" i="29"/>
  <c r="AY99" i="29"/>
  <c r="AR100" i="29"/>
  <c r="AY100" i="29"/>
  <c r="AR101" i="29"/>
  <c r="AY101" i="29"/>
  <c r="AR102" i="29"/>
  <c r="AY102" i="29"/>
  <c r="AR103" i="29"/>
  <c r="AY103" i="29"/>
  <c r="AR104" i="29"/>
  <c r="AY104" i="29"/>
  <c r="AR105" i="29"/>
  <c r="AY105" i="29"/>
  <c r="AR106" i="29"/>
  <c r="AY106" i="29"/>
  <c r="AR107" i="29"/>
  <c r="AY107" i="29"/>
  <c r="AR108" i="29"/>
  <c r="AY108" i="29"/>
  <c r="AR109" i="29"/>
  <c r="AY109" i="29"/>
  <c r="AR110" i="29"/>
  <c r="AY110" i="29"/>
  <c r="AR111" i="29"/>
  <c r="AY111" i="29"/>
  <c r="AR112" i="29"/>
  <c r="AY112" i="29"/>
  <c r="AR113" i="29"/>
  <c r="AY113" i="29"/>
  <c r="AZ5" i="29"/>
  <c r="R19" i="29"/>
  <c r="AW4" i="29"/>
  <c r="AX4" i="29"/>
  <c r="AY4" i="29"/>
  <c r="S19" i="29"/>
  <c r="T19" i="29"/>
  <c r="V19" i="29"/>
  <c r="I24" i="29"/>
  <c r="I25" i="29"/>
  <c r="G27" i="29"/>
  <c r="G28" i="29"/>
  <c r="G29" i="29"/>
  <c r="U36" i="29"/>
  <c r="T14" i="29"/>
  <c r="V14" i="29"/>
  <c r="I31" i="29"/>
  <c r="S15" i="29"/>
  <c r="T15" i="29"/>
  <c r="V15" i="29"/>
  <c r="I32" i="29"/>
  <c r="S16" i="29"/>
  <c r="V16" i="29"/>
  <c r="I33" i="29"/>
  <c r="W24" i="29"/>
  <c r="W23" i="29"/>
  <c r="W29" i="29"/>
  <c r="W25" i="29"/>
  <c r="W30" i="29"/>
  <c r="W27" i="29"/>
  <c r="W31" i="29"/>
  <c r="BA5" i="29"/>
  <c r="W14" i="29"/>
  <c r="W15" i="29"/>
  <c r="W16" i="29"/>
  <c r="S23" i="29"/>
  <c r="S24" i="29"/>
  <c r="S25" i="29"/>
  <c r="AS25" i="29"/>
  <c r="AU25" i="29"/>
  <c r="AV25" i="29"/>
  <c r="AW25" i="29"/>
  <c r="AX25" i="29"/>
  <c r="W26" i="29"/>
  <c r="AS26" i="29"/>
  <c r="AU26" i="29"/>
  <c r="AV26" i="29"/>
  <c r="AW26" i="29"/>
  <c r="AX26" i="29"/>
  <c r="AS27" i="29"/>
  <c r="AU27" i="29"/>
  <c r="AV27" i="29"/>
  <c r="AW27" i="29"/>
  <c r="AX27" i="29"/>
  <c r="AS28" i="29"/>
  <c r="AU28" i="29"/>
  <c r="AV28" i="29"/>
  <c r="AW28" i="29"/>
  <c r="AX28" i="29"/>
  <c r="AS29" i="29"/>
  <c r="AU29" i="29"/>
  <c r="AV29" i="29"/>
  <c r="AW29" i="29"/>
  <c r="AX29" i="29"/>
  <c r="AS30" i="29"/>
  <c r="AU30" i="29"/>
  <c r="AV30" i="29"/>
  <c r="AW30" i="29"/>
  <c r="AX30" i="29"/>
  <c r="AS33" i="29"/>
  <c r="AU33" i="29"/>
  <c r="AV33" i="29"/>
  <c r="AW33" i="29"/>
  <c r="AX33" i="29"/>
  <c r="AS34" i="29"/>
  <c r="AU34" i="29"/>
  <c r="AV34" i="29"/>
  <c r="AW34" i="29"/>
  <c r="AX34" i="29"/>
  <c r="AS35" i="29"/>
  <c r="AU35" i="29"/>
  <c r="AV35" i="29"/>
  <c r="AW35" i="29"/>
  <c r="AX35" i="29"/>
  <c r="AS36" i="29"/>
  <c r="AU36" i="29"/>
  <c r="AV36" i="29"/>
  <c r="AW36" i="29"/>
  <c r="AX36" i="29"/>
  <c r="AS37" i="29"/>
  <c r="AU37" i="29"/>
  <c r="AV37" i="29"/>
  <c r="AW37" i="29"/>
  <c r="AX37" i="29"/>
  <c r="AS38" i="29"/>
  <c r="AU38" i="29"/>
  <c r="AV38" i="29"/>
  <c r="AW38" i="29"/>
  <c r="AX38" i="29"/>
  <c r="AS39" i="29"/>
  <c r="AU39" i="29"/>
  <c r="AV39" i="29"/>
  <c r="AW39" i="29"/>
  <c r="AX39" i="29"/>
  <c r="AS40" i="29"/>
  <c r="AU40" i="29"/>
  <c r="AV40" i="29"/>
  <c r="AW40" i="29"/>
  <c r="AX40" i="29"/>
  <c r="AS41" i="29"/>
  <c r="AU41" i="29"/>
  <c r="AV41" i="29"/>
  <c r="AW41" i="29"/>
  <c r="AX41" i="29"/>
  <c r="AS42" i="29"/>
  <c r="AU42" i="29"/>
  <c r="AV42" i="29"/>
  <c r="AW42" i="29"/>
  <c r="AX42" i="29"/>
  <c r="AS43" i="29"/>
  <c r="AU43" i="29"/>
  <c r="AV43" i="29"/>
  <c r="AW43" i="29"/>
  <c r="AX43" i="29"/>
  <c r="AS44" i="29"/>
  <c r="AU44" i="29"/>
  <c r="AV44" i="29"/>
  <c r="AW44" i="29"/>
  <c r="AX44" i="29"/>
  <c r="AS45" i="29"/>
  <c r="AU45" i="29"/>
  <c r="AV45" i="29"/>
  <c r="AW45" i="29"/>
  <c r="AX45" i="29"/>
  <c r="AS46" i="29"/>
  <c r="AU46" i="29"/>
  <c r="AV46" i="29"/>
  <c r="AW46" i="29"/>
  <c r="AX46" i="29"/>
  <c r="AS47" i="29"/>
  <c r="AU47" i="29"/>
  <c r="AV47" i="29"/>
  <c r="AW47" i="29"/>
  <c r="AX47" i="29"/>
  <c r="AS48" i="29"/>
  <c r="AU48" i="29"/>
  <c r="AV48" i="29"/>
  <c r="AW48" i="29"/>
  <c r="AX48" i="29"/>
  <c r="AS49" i="29"/>
  <c r="AU49" i="29"/>
  <c r="AV49" i="29"/>
  <c r="AW49" i="29"/>
  <c r="AX49" i="29"/>
  <c r="AS50" i="29"/>
  <c r="AU50" i="29"/>
  <c r="AV50" i="29"/>
  <c r="AW50" i="29"/>
  <c r="AX50" i="29"/>
  <c r="AS51" i="29"/>
  <c r="AU51" i="29"/>
  <c r="AV51" i="29"/>
  <c r="AW51" i="29"/>
  <c r="AX51" i="29"/>
  <c r="AS52" i="29"/>
  <c r="AU52" i="29"/>
  <c r="AV52" i="29"/>
  <c r="AW52" i="29"/>
  <c r="AX52" i="29"/>
  <c r="AS53" i="29"/>
  <c r="AU53" i="29"/>
  <c r="AV53" i="29"/>
  <c r="AW53" i="29"/>
  <c r="AX53" i="29"/>
  <c r="AS54" i="29"/>
  <c r="AU54" i="29"/>
  <c r="AV54" i="29"/>
  <c r="AW54" i="29"/>
  <c r="AX54" i="29"/>
  <c r="AS55" i="29"/>
  <c r="AU55" i="29"/>
  <c r="AV55" i="29"/>
  <c r="AW55" i="29"/>
  <c r="AX55" i="29"/>
  <c r="AS56" i="29"/>
  <c r="AU56" i="29"/>
  <c r="AV56" i="29"/>
  <c r="AW56" i="29"/>
  <c r="AX56" i="29"/>
  <c r="AS57" i="29"/>
  <c r="AU57" i="29"/>
  <c r="AV57" i="29"/>
  <c r="AW57" i="29"/>
  <c r="AX57" i="29"/>
  <c r="AS58" i="29"/>
  <c r="AU58" i="29"/>
  <c r="AV58" i="29"/>
  <c r="AW58" i="29"/>
  <c r="AX58" i="29"/>
  <c r="AS59" i="29"/>
  <c r="AU59" i="29"/>
  <c r="AV59" i="29"/>
  <c r="AW59" i="29"/>
  <c r="AX59" i="29"/>
  <c r="AS60" i="29"/>
  <c r="AU60" i="29"/>
  <c r="AV60" i="29"/>
  <c r="AW60" i="29"/>
  <c r="AX60" i="29"/>
  <c r="AS61" i="29"/>
  <c r="AU61" i="29"/>
  <c r="AV61" i="29"/>
  <c r="AW61" i="29"/>
  <c r="AX61" i="29"/>
  <c r="AS62" i="29"/>
  <c r="AU62" i="29"/>
  <c r="AV62" i="29"/>
  <c r="AW62" i="29"/>
  <c r="AX62" i="29"/>
  <c r="AS63" i="29"/>
  <c r="AU63" i="29"/>
  <c r="AV63" i="29"/>
  <c r="AW63" i="29"/>
  <c r="AX63" i="29"/>
  <c r="AS64" i="29"/>
  <c r="AU64" i="29"/>
  <c r="AV64" i="29"/>
  <c r="AW64" i="29"/>
  <c r="AX64" i="29"/>
  <c r="AS65" i="29"/>
  <c r="AU65" i="29"/>
  <c r="AV65" i="29"/>
  <c r="AW65" i="29"/>
  <c r="AX65" i="29"/>
  <c r="AS66" i="29"/>
  <c r="AU66" i="29"/>
  <c r="AV66" i="29"/>
  <c r="AW66" i="29"/>
  <c r="AX66" i="29"/>
  <c r="AS67" i="29"/>
  <c r="AU67" i="29"/>
  <c r="AV67" i="29"/>
  <c r="AW67" i="29"/>
  <c r="AX67" i="29"/>
  <c r="AS68" i="29"/>
  <c r="AU68" i="29"/>
  <c r="AV68" i="29"/>
  <c r="AW68" i="29"/>
  <c r="AX68" i="29"/>
  <c r="AS69" i="29"/>
  <c r="AU69" i="29"/>
  <c r="AV69" i="29"/>
  <c r="AW69" i="29"/>
  <c r="AX69" i="29"/>
  <c r="AS70" i="29"/>
  <c r="AU70" i="29"/>
  <c r="AV70" i="29"/>
  <c r="AW70" i="29"/>
  <c r="AX70" i="29"/>
  <c r="AS71" i="29"/>
  <c r="AU71" i="29"/>
  <c r="AV71" i="29"/>
  <c r="AW71" i="29"/>
  <c r="AX71" i="29"/>
  <c r="AS72" i="29"/>
  <c r="AU72" i="29"/>
  <c r="AV72" i="29"/>
  <c r="AW72" i="29"/>
  <c r="AX72" i="29"/>
  <c r="AS73" i="29"/>
  <c r="AU73" i="29"/>
  <c r="AV73" i="29"/>
  <c r="AW73" i="29"/>
  <c r="AX73" i="29"/>
  <c r="AS74" i="29"/>
  <c r="AU74" i="29"/>
  <c r="AV74" i="29"/>
  <c r="AW74" i="29"/>
  <c r="AX74" i="29"/>
  <c r="AS75" i="29"/>
  <c r="AU75" i="29"/>
  <c r="AV75" i="29"/>
  <c r="AW75" i="29"/>
  <c r="AX75" i="29"/>
  <c r="AS76" i="29"/>
  <c r="AU76" i="29"/>
  <c r="AV76" i="29"/>
  <c r="AW76" i="29"/>
  <c r="AX76" i="29"/>
  <c r="AS77" i="29"/>
  <c r="AU77" i="29"/>
  <c r="AV77" i="29"/>
  <c r="AW77" i="29"/>
  <c r="AX77" i="29"/>
  <c r="AS78" i="29"/>
  <c r="AU78" i="29"/>
  <c r="AV78" i="29"/>
  <c r="AW78" i="29"/>
  <c r="AX78" i="29"/>
  <c r="AS79" i="29"/>
  <c r="AU79" i="29"/>
  <c r="AV79" i="29"/>
  <c r="AW79" i="29"/>
  <c r="AX79" i="29"/>
  <c r="AS80" i="29"/>
  <c r="AU80" i="29"/>
  <c r="AV80" i="29"/>
  <c r="AW80" i="29"/>
  <c r="AX80" i="29"/>
  <c r="AS81" i="29"/>
  <c r="AU81" i="29"/>
  <c r="AV81" i="29"/>
  <c r="AW81" i="29"/>
  <c r="AX81" i="29"/>
  <c r="AS82" i="29"/>
  <c r="AU82" i="29"/>
  <c r="AV82" i="29"/>
  <c r="AW82" i="29"/>
  <c r="AX82" i="29"/>
  <c r="AS83" i="29"/>
  <c r="AU83" i="29"/>
  <c r="AV83" i="29"/>
  <c r="AW83" i="29"/>
  <c r="AX83" i="29"/>
  <c r="AS84" i="29"/>
  <c r="AU84" i="29"/>
  <c r="AV84" i="29"/>
  <c r="AW84" i="29"/>
  <c r="AX84" i="29"/>
  <c r="AS85" i="29"/>
  <c r="AU85" i="29"/>
  <c r="AV85" i="29"/>
  <c r="AW85" i="29"/>
  <c r="AX85" i="29"/>
  <c r="AS86" i="29"/>
  <c r="AU86" i="29"/>
  <c r="AV86" i="29"/>
  <c r="AW86" i="29"/>
  <c r="AX86" i="29"/>
  <c r="AS87" i="29"/>
  <c r="AU87" i="29"/>
  <c r="AV87" i="29"/>
  <c r="AW87" i="29"/>
  <c r="AX87" i="29"/>
  <c r="AS88" i="29"/>
  <c r="AU88" i="29"/>
  <c r="AV88" i="29"/>
  <c r="AW88" i="29"/>
  <c r="AX88" i="29"/>
  <c r="AS89" i="29"/>
  <c r="AU89" i="29"/>
  <c r="AV89" i="29"/>
  <c r="AW89" i="29"/>
  <c r="AX89" i="29"/>
  <c r="AS90" i="29"/>
  <c r="AU90" i="29"/>
  <c r="AV90" i="29"/>
  <c r="AW90" i="29"/>
  <c r="AX90" i="29"/>
  <c r="AS91" i="29"/>
  <c r="AU91" i="29"/>
  <c r="AV91" i="29"/>
  <c r="AW91" i="29"/>
  <c r="AX91" i="29"/>
  <c r="AS92" i="29"/>
  <c r="AU92" i="29"/>
  <c r="AV92" i="29"/>
  <c r="AW92" i="29"/>
  <c r="AX92" i="29"/>
  <c r="AS93" i="29"/>
  <c r="AU93" i="29"/>
  <c r="AV93" i="29"/>
  <c r="AW93" i="29"/>
  <c r="AX93" i="29"/>
  <c r="AS94" i="29"/>
  <c r="AU94" i="29"/>
  <c r="AV94" i="29"/>
  <c r="AW94" i="29"/>
  <c r="AX94" i="29"/>
  <c r="AS95" i="29"/>
  <c r="AU95" i="29"/>
  <c r="AV95" i="29"/>
  <c r="AW95" i="29"/>
  <c r="AX95" i="29"/>
  <c r="AS96" i="29"/>
  <c r="AU96" i="29"/>
  <c r="AV96" i="29"/>
  <c r="AW96" i="29"/>
  <c r="AX96" i="29"/>
  <c r="AS97" i="29"/>
  <c r="AU97" i="29"/>
  <c r="AV97" i="29"/>
  <c r="AW97" i="29"/>
  <c r="AX97" i="29"/>
  <c r="AS98" i="29"/>
  <c r="AU98" i="29"/>
  <c r="AV98" i="29"/>
  <c r="AW98" i="29"/>
  <c r="AX98" i="29"/>
  <c r="AS99" i="29"/>
  <c r="AU99" i="29"/>
  <c r="AV99" i="29"/>
  <c r="AW99" i="29"/>
  <c r="AX99" i="29"/>
  <c r="AS100" i="29"/>
  <c r="AU100" i="29"/>
  <c r="AV100" i="29"/>
  <c r="AW100" i="29"/>
  <c r="AX100" i="29"/>
  <c r="AS101" i="29"/>
  <c r="AU101" i="29"/>
  <c r="AV101" i="29"/>
  <c r="AW101" i="29"/>
  <c r="AX101" i="29"/>
  <c r="AS102" i="29"/>
  <c r="AU102" i="29"/>
  <c r="AV102" i="29"/>
  <c r="AW102" i="29"/>
  <c r="AX102" i="29"/>
  <c r="AS103" i="29"/>
  <c r="AU103" i="29"/>
  <c r="AV103" i="29"/>
  <c r="AW103" i="29"/>
  <c r="AX103" i="29"/>
  <c r="AS104" i="29"/>
  <c r="AU104" i="29"/>
  <c r="AV104" i="29"/>
  <c r="AW104" i="29"/>
  <c r="AX104" i="29"/>
  <c r="AS105" i="29"/>
  <c r="AU105" i="29"/>
  <c r="AV105" i="29"/>
  <c r="AW105" i="29"/>
  <c r="AX105" i="29"/>
  <c r="AS106" i="29"/>
  <c r="AU106" i="29"/>
  <c r="AV106" i="29"/>
  <c r="AW106" i="29"/>
  <c r="AX106" i="29"/>
  <c r="AS107" i="29"/>
  <c r="AU107" i="29"/>
  <c r="AV107" i="29"/>
  <c r="AW107" i="29"/>
  <c r="AX107" i="29"/>
  <c r="AS108" i="29"/>
  <c r="AU108" i="29"/>
  <c r="AV108" i="29"/>
  <c r="AW108" i="29"/>
  <c r="AX108" i="29"/>
  <c r="AS109" i="29"/>
  <c r="AU109" i="29"/>
  <c r="AV109" i="29"/>
  <c r="AW109" i="29"/>
  <c r="AX109" i="29"/>
  <c r="AS110" i="29"/>
  <c r="AU110" i="29"/>
  <c r="AV110" i="29"/>
  <c r="AW110" i="29"/>
  <c r="AX110" i="29"/>
  <c r="AS111" i="29"/>
  <c r="AU111" i="29"/>
  <c r="AV111" i="29"/>
  <c r="AW111" i="29"/>
  <c r="AX111" i="29"/>
  <c r="AS112" i="29"/>
  <c r="AU112" i="29"/>
  <c r="AV112" i="29"/>
  <c r="AW112" i="29"/>
  <c r="AX112" i="29"/>
  <c r="AS113" i="29"/>
  <c r="AU113" i="29"/>
  <c r="AV113" i="29"/>
  <c r="AW113" i="29"/>
  <c r="AX113" i="29"/>
  <c r="V5" i="14"/>
  <c r="R5" i="14"/>
  <c r="S5" i="14"/>
  <c r="T5" i="14"/>
  <c r="S9" i="14"/>
  <c r="T9" i="14"/>
  <c r="S14" i="14"/>
  <c r="S14" i="28"/>
  <c r="V5" i="28"/>
  <c r="R5" i="28"/>
  <c r="S5" i="28"/>
  <c r="T5" i="28"/>
  <c r="S9" i="28"/>
  <c r="T9" i="28"/>
  <c r="S14" i="26"/>
  <c r="R5" i="23"/>
  <c r="S5" i="23"/>
  <c r="T5" i="23"/>
  <c r="V5" i="23"/>
  <c r="S9" i="23"/>
  <c r="T9" i="23"/>
  <c r="S14" i="23"/>
  <c r="V5" i="26"/>
  <c r="R5" i="26"/>
  <c r="S5" i="26"/>
  <c r="T5" i="26"/>
  <c r="S9" i="26"/>
  <c r="T9" i="26"/>
  <c r="M15" i="26"/>
  <c r="R6" i="26"/>
  <c r="S6" i="26"/>
  <c r="T6" i="26"/>
  <c r="S11" i="26"/>
  <c r="T11" i="26"/>
  <c r="S14" i="24"/>
  <c r="V5" i="24"/>
  <c r="R5" i="24"/>
  <c r="S5" i="24"/>
  <c r="T5" i="24"/>
  <c r="S9" i="24"/>
  <c r="T9" i="24"/>
  <c r="R6" i="24"/>
  <c r="S6" i="24"/>
  <c r="T6" i="24"/>
  <c r="S11" i="24"/>
  <c r="T11" i="24"/>
  <c r="C11" i="2"/>
  <c r="C55" i="2"/>
  <c r="E55" i="2"/>
  <c r="C26" i="2"/>
  <c r="C19" i="2"/>
  <c r="AR5" i="28"/>
  <c r="AR6" i="28"/>
  <c r="AR7" i="28"/>
  <c r="AR8" i="28"/>
  <c r="AR9" i="28"/>
  <c r="AR10" i="28"/>
  <c r="AR11" i="28"/>
  <c r="AR12" i="28"/>
  <c r="AR13" i="28"/>
  <c r="AR14" i="28"/>
  <c r="AR15" i="28"/>
  <c r="AR16" i="28"/>
  <c r="AR17" i="28"/>
  <c r="AR18" i="28"/>
  <c r="AR19" i="28"/>
  <c r="AR20" i="28"/>
  <c r="AR21" i="28"/>
  <c r="AR22" i="28"/>
  <c r="AR23" i="28"/>
  <c r="AR24" i="28"/>
  <c r="AR25" i="28"/>
  <c r="AR26" i="28"/>
  <c r="AR27" i="28"/>
  <c r="AR28" i="28"/>
  <c r="AR29" i="28"/>
  <c r="AR30" i="28"/>
  <c r="AR33" i="28"/>
  <c r="AR34" i="28"/>
  <c r="AR35" i="28"/>
  <c r="AR36" i="28"/>
  <c r="AR37" i="28"/>
  <c r="AR38" i="28"/>
  <c r="AR39" i="28"/>
  <c r="AR40" i="28"/>
  <c r="AR41" i="28"/>
  <c r="AR42" i="28"/>
  <c r="AR43" i="28"/>
  <c r="AR44" i="28"/>
  <c r="AR45" i="28"/>
  <c r="AR46" i="28"/>
  <c r="AR47" i="28"/>
  <c r="AR48" i="28"/>
  <c r="AR49" i="28"/>
  <c r="AR50" i="28"/>
  <c r="AR51" i="28"/>
  <c r="AR52" i="28"/>
  <c r="AR53" i="28"/>
  <c r="AR54" i="28"/>
  <c r="AR55" i="28"/>
  <c r="AR56" i="28"/>
  <c r="AR57" i="28"/>
  <c r="AR58" i="28"/>
  <c r="AR59" i="28"/>
  <c r="AR60" i="28"/>
  <c r="AR61" i="28"/>
  <c r="AR62" i="28"/>
  <c r="AR63" i="28"/>
  <c r="AR64" i="28"/>
  <c r="AR65" i="28"/>
  <c r="AR66" i="28"/>
  <c r="AR67" i="28"/>
  <c r="AR68" i="28"/>
  <c r="AR69" i="28"/>
  <c r="AR70" i="28"/>
  <c r="AR71" i="28"/>
  <c r="AR72" i="28"/>
  <c r="AR73" i="28"/>
  <c r="AR74" i="28"/>
  <c r="AR75" i="28"/>
  <c r="AR76" i="28"/>
  <c r="AR77" i="28"/>
  <c r="AR78" i="28"/>
  <c r="AR79" i="28"/>
  <c r="AR80" i="28"/>
  <c r="AR81" i="28"/>
  <c r="AR82" i="28"/>
  <c r="AR83" i="28"/>
  <c r="AR84" i="28"/>
  <c r="AR85" i="28"/>
  <c r="AR86" i="28"/>
  <c r="AR87" i="28"/>
  <c r="AR88" i="28"/>
  <c r="AR89" i="28"/>
  <c r="AR90" i="28"/>
  <c r="AR91" i="28"/>
  <c r="AR92" i="28"/>
  <c r="AR93" i="28"/>
  <c r="AR94" i="28"/>
  <c r="AR95" i="28"/>
  <c r="AR96" i="28"/>
  <c r="AR97" i="28"/>
  <c r="AR98" i="28"/>
  <c r="AR99" i="28"/>
  <c r="AR100" i="28"/>
  <c r="AR101" i="28"/>
  <c r="AR102" i="28"/>
  <c r="AR103" i="28"/>
  <c r="AR104" i="28"/>
  <c r="AR105" i="28"/>
  <c r="AR106" i="28"/>
  <c r="AR107" i="28"/>
  <c r="AR108" i="28"/>
  <c r="AR109" i="28"/>
  <c r="AR110" i="28"/>
  <c r="AR111" i="28"/>
  <c r="AR112" i="28"/>
  <c r="AR113" i="28"/>
  <c r="AY113" i="28"/>
  <c r="AS113" i="28"/>
  <c r="AU113" i="28"/>
  <c r="AV113" i="28"/>
  <c r="AW113" i="28"/>
  <c r="AX113" i="28"/>
  <c r="AY112" i="28"/>
  <c r="AS112" i="28"/>
  <c r="AU112" i="28"/>
  <c r="AV112" i="28"/>
  <c r="AW112" i="28"/>
  <c r="AX112" i="28"/>
  <c r="AY111" i="28"/>
  <c r="AS111" i="28"/>
  <c r="AU111" i="28"/>
  <c r="AV111" i="28"/>
  <c r="AW111" i="28"/>
  <c r="AX111" i="28"/>
  <c r="AY110" i="28"/>
  <c r="AS110" i="28"/>
  <c r="AU110" i="28"/>
  <c r="AV110" i="28"/>
  <c r="AW110" i="28"/>
  <c r="AX110" i="28"/>
  <c r="AY109" i="28"/>
  <c r="AS109" i="28"/>
  <c r="AU109" i="28"/>
  <c r="AV109" i="28"/>
  <c r="AW109" i="28"/>
  <c r="AX109" i="28"/>
  <c r="AY108" i="28"/>
  <c r="AS108" i="28"/>
  <c r="AU108" i="28"/>
  <c r="AV108" i="28"/>
  <c r="AW108" i="28"/>
  <c r="AX108" i="28"/>
  <c r="AY107" i="28"/>
  <c r="AS107" i="28"/>
  <c r="AU107" i="28"/>
  <c r="AV107" i="28"/>
  <c r="AW107" i="28"/>
  <c r="AX107" i="28"/>
  <c r="AY106" i="28"/>
  <c r="AS106" i="28"/>
  <c r="AU106" i="28"/>
  <c r="AV106" i="28"/>
  <c r="AW106" i="28"/>
  <c r="AX106" i="28"/>
  <c r="AY105" i="28"/>
  <c r="AS105" i="28"/>
  <c r="AU105" i="28"/>
  <c r="AV105" i="28"/>
  <c r="AW105" i="28"/>
  <c r="AX105" i="28"/>
  <c r="AY104" i="28"/>
  <c r="AS104" i="28"/>
  <c r="AU104" i="28"/>
  <c r="AV104" i="28"/>
  <c r="AW104" i="28"/>
  <c r="AX104" i="28"/>
  <c r="AY103" i="28"/>
  <c r="AS103" i="28"/>
  <c r="AU103" i="28"/>
  <c r="AV103" i="28"/>
  <c r="AW103" i="28"/>
  <c r="AX103" i="28"/>
  <c r="AY102" i="28"/>
  <c r="AS102" i="28"/>
  <c r="AU102" i="28"/>
  <c r="AV102" i="28"/>
  <c r="AW102" i="28"/>
  <c r="AX102" i="28"/>
  <c r="AY101" i="28"/>
  <c r="AS101" i="28"/>
  <c r="AU101" i="28"/>
  <c r="AV101" i="28"/>
  <c r="AW101" i="28"/>
  <c r="AX101" i="28"/>
  <c r="AY100" i="28"/>
  <c r="AS100" i="28"/>
  <c r="AU100" i="28"/>
  <c r="AV100" i="28"/>
  <c r="AW100" i="28"/>
  <c r="AX100" i="28"/>
  <c r="AY99" i="28"/>
  <c r="AS99" i="28"/>
  <c r="AU99" i="28"/>
  <c r="AV99" i="28"/>
  <c r="AW99" i="28"/>
  <c r="AX99" i="28"/>
  <c r="AY98" i="28"/>
  <c r="AS98" i="28"/>
  <c r="AU98" i="28"/>
  <c r="AV98" i="28"/>
  <c r="AW98" i="28"/>
  <c r="AX98" i="28"/>
  <c r="AY97" i="28"/>
  <c r="AS97" i="28"/>
  <c r="AU97" i="28"/>
  <c r="AV97" i="28"/>
  <c r="AW97" i="28"/>
  <c r="AX97" i="28"/>
  <c r="AY96" i="28"/>
  <c r="AS96" i="28"/>
  <c r="AU96" i="28"/>
  <c r="AV96" i="28"/>
  <c r="AW96" i="28"/>
  <c r="AX96" i="28"/>
  <c r="AY95" i="28"/>
  <c r="AS95" i="28"/>
  <c r="AU95" i="28"/>
  <c r="AV95" i="28"/>
  <c r="AW95" i="28"/>
  <c r="AX95" i="28"/>
  <c r="AY94" i="28"/>
  <c r="AS94" i="28"/>
  <c r="AU94" i="28"/>
  <c r="AV94" i="28"/>
  <c r="AW94" i="28"/>
  <c r="AX94" i="28"/>
  <c r="AY93" i="28"/>
  <c r="AS93" i="28"/>
  <c r="AU93" i="28"/>
  <c r="AV93" i="28"/>
  <c r="AW93" i="28"/>
  <c r="AX93" i="28"/>
  <c r="AY92" i="28"/>
  <c r="AS92" i="28"/>
  <c r="AU92" i="28"/>
  <c r="AV92" i="28"/>
  <c r="AW92" i="28"/>
  <c r="AX92" i="28"/>
  <c r="AY91" i="28"/>
  <c r="AS91" i="28"/>
  <c r="AU91" i="28"/>
  <c r="AV91" i="28"/>
  <c r="AW91" i="28"/>
  <c r="AX91" i="28"/>
  <c r="AY90" i="28"/>
  <c r="AS90" i="28"/>
  <c r="AU90" i="28"/>
  <c r="AV90" i="28"/>
  <c r="AW90" i="28"/>
  <c r="AX90" i="28"/>
  <c r="AY89" i="28"/>
  <c r="AS89" i="28"/>
  <c r="AU89" i="28"/>
  <c r="AV89" i="28"/>
  <c r="AW89" i="28"/>
  <c r="AX89" i="28"/>
  <c r="AY88" i="28"/>
  <c r="AS88" i="28"/>
  <c r="AU88" i="28"/>
  <c r="AV88" i="28"/>
  <c r="AW88" i="28"/>
  <c r="AX88" i="28"/>
  <c r="AY87" i="28"/>
  <c r="AS87" i="28"/>
  <c r="AU87" i="28"/>
  <c r="AV87" i="28"/>
  <c r="AW87" i="28"/>
  <c r="AX87" i="28"/>
  <c r="AY86" i="28"/>
  <c r="AS86" i="28"/>
  <c r="AU86" i="28"/>
  <c r="AV86" i="28"/>
  <c r="AW86" i="28"/>
  <c r="AX86" i="28"/>
  <c r="AY85" i="28"/>
  <c r="AS85" i="28"/>
  <c r="AU85" i="28"/>
  <c r="AV85" i="28"/>
  <c r="AW85" i="28"/>
  <c r="AX85" i="28"/>
  <c r="AY84" i="28"/>
  <c r="AS84" i="28"/>
  <c r="AU84" i="28"/>
  <c r="AV84" i="28"/>
  <c r="AW84" i="28"/>
  <c r="AX84" i="28"/>
  <c r="AY83" i="28"/>
  <c r="AS83" i="28"/>
  <c r="AU83" i="28"/>
  <c r="AV83" i="28"/>
  <c r="AW83" i="28"/>
  <c r="AX83" i="28"/>
  <c r="AY82" i="28"/>
  <c r="AS82" i="28"/>
  <c r="AU82" i="28"/>
  <c r="AV82" i="28"/>
  <c r="AW82" i="28"/>
  <c r="AX82" i="28"/>
  <c r="AY81" i="28"/>
  <c r="AS81" i="28"/>
  <c r="AU81" i="28"/>
  <c r="AV81" i="28"/>
  <c r="AW81" i="28"/>
  <c r="AX81" i="28"/>
  <c r="AY80" i="28"/>
  <c r="AS80" i="28"/>
  <c r="AU80" i="28"/>
  <c r="AV80" i="28"/>
  <c r="AW80" i="28"/>
  <c r="AX80" i="28"/>
  <c r="AY79" i="28"/>
  <c r="AS79" i="28"/>
  <c r="AU79" i="28"/>
  <c r="AV79" i="28"/>
  <c r="AW79" i="28"/>
  <c r="AX79" i="28"/>
  <c r="AY78" i="28"/>
  <c r="AS78" i="28"/>
  <c r="AU78" i="28"/>
  <c r="AV78" i="28"/>
  <c r="AW78" i="28"/>
  <c r="AX78" i="28"/>
  <c r="AY77" i="28"/>
  <c r="AS77" i="28"/>
  <c r="AU77" i="28"/>
  <c r="AV77" i="28"/>
  <c r="AW77" i="28"/>
  <c r="AX77" i="28"/>
  <c r="AY76" i="28"/>
  <c r="AS76" i="28"/>
  <c r="AU76" i="28"/>
  <c r="AV76" i="28"/>
  <c r="AW76" i="28"/>
  <c r="AX76" i="28"/>
  <c r="AY75" i="28"/>
  <c r="AS75" i="28"/>
  <c r="AU75" i="28"/>
  <c r="AV75" i="28"/>
  <c r="AW75" i="28"/>
  <c r="AX75" i="28"/>
  <c r="AY74" i="28"/>
  <c r="AS74" i="28"/>
  <c r="AU74" i="28"/>
  <c r="AV74" i="28"/>
  <c r="AW74" i="28"/>
  <c r="AX74" i="28"/>
  <c r="AY73" i="28"/>
  <c r="AS73" i="28"/>
  <c r="AU73" i="28"/>
  <c r="AV73" i="28"/>
  <c r="AW73" i="28"/>
  <c r="AX73" i="28"/>
  <c r="AY72" i="28"/>
  <c r="AS72" i="28"/>
  <c r="AU72" i="28"/>
  <c r="AV72" i="28"/>
  <c r="AW72" i="28"/>
  <c r="AX72" i="28"/>
  <c r="AY71" i="28"/>
  <c r="AS71" i="28"/>
  <c r="AU71" i="28"/>
  <c r="AV71" i="28"/>
  <c r="AW71" i="28"/>
  <c r="AX71" i="28"/>
  <c r="AY70" i="28"/>
  <c r="AS70" i="28"/>
  <c r="AU70" i="28"/>
  <c r="AV70" i="28"/>
  <c r="AW70" i="28"/>
  <c r="AX70" i="28"/>
  <c r="AY69" i="28"/>
  <c r="AS69" i="28"/>
  <c r="AU69" i="28"/>
  <c r="AV69" i="28"/>
  <c r="AW69" i="28"/>
  <c r="AX69" i="28"/>
  <c r="AY68" i="28"/>
  <c r="AS68" i="28"/>
  <c r="AU68" i="28"/>
  <c r="AV68" i="28"/>
  <c r="AW68" i="28"/>
  <c r="AX68" i="28"/>
  <c r="AY67" i="28"/>
  <c r="AS67" i="28"/>
  <c r="AU67" i="28"/>
  <c r="AV67" i="28"/>
  <c r="AW67" i="28"/>
  <c r="AX67" i="28"/>
  <c r="AY66" i="28"/>
  <c r="AS66" i="28"/>
  <c r="AU66" i="28"/>
  <c r="AV66" i="28"/>
  <c r="AW66" i="28"/>
  <c r="AX66" i="28"/>
  <c r="AY65" i="28"/>
  <c r="AS65" i="28"/>
  <c r="AU65" i="28"/>
  <c r="AV65" i="28"/>
  <c r="AW65" i="28"/>
  <c r="AX65" i="28"/>
  <c r="AY64" i="28"/>
  <c r="AS64" i="28"/>
  <c r="AU64" i="28"/>
  <c r="AV64" i="28"/>
  <c r="AW64" i="28"/>
  <c r="AX64" i="28"/>
  <c r="AY63" i="28"/>
  <c r="AS63" i="28"/>
  <c r="AU63" i="28"/>
  <c r="AV63" i="28"/>
  <c r="AW63" i="28"/>
  <c r="AX63" i="28"/>
  <c r="AY62" i="28"/>
  <c r="AS62" i="28"/>
  <c r="AU62" i="28"/>
  <c r="AV62" i="28"/>
  <c r="AW62" i="28"/>
  <c r="AX62" i="28"/>
  <c r="AY61" i="28"/>
  <c r="AS61" i="28"/>
  <c r="AU61" i="28"/>
  <c r="AV61" i="28"/>
  <c r="AW61" i="28"/>
  <c r="AX61" i="28"/>
  <c r="AY60" i="28"/>
  <c r="AS60" i="28"/>
  <c r="AU60" i="28"/>
  <c r="AV60" i="28"/>
  <c r="AW60" i="28"/>
  <c r="AX60" i="28"/>
  <c r="AY59" i="28"/>
  <c r="AS59" i="28"/>
  <c r="AU59" i="28"/>
  <c r="AV59" i="28"/>
  <c r="AW59" i="28"/>
  <c r="AX59" i="28"/>
  <c r="AY58" i="28"/>
  <c r="AS58" i="28"/>
  <c r="AU58" i="28"/>
  <c r="AV58" i="28"/>
  <c r="AW58" i="28"/>
  <c r="AX58" i="28"/>
  <c r="AY57" i="28"/>
  <c r="AS57" i="28"/>
  <c r="AU57" i="28"/>
  <c r="AV57" i="28"/>
  <c r="AW57" i="28"/>
  <c r="AX57" i="28"/>
  <c r="AY56" i="28"/>
  <c r="AS56" i="28"/>
  <c r="AU56" i="28"/>
  <c r="AV56" i="28"/>
  <c r="AW56" i="28"/>
  <c r="AX56" i="28"/>
  <c r="AY55" i="28"/>
  <c r="AS55" i="28"/>
  <c r="AU55" i="28"/>
  <c r="AV55" i="28"/>
  <c r="AW55" i="28"/>
  <c r="AX55" i="28"/>
  <c r="AY54" i="28"/>
  <c r="AS54" i="28"/>
  <c r="AU54" i="28"/>
  <c r="AV54" i="28"/>
  <c r="AW54" i="28"/>
  <c r="AX54" i="28"/>
  <c r="AY53" i="28"/>
  <c r="AS53" i="28"/>
  <c r="AU53" i="28"/>
  <c r="AV53" i="28"/>
  <c r="AW53" i="28"/>
  <c r="AX53" i="28"/>
  <c r="AY52" i="28"/>
  <c r="AS52" i="28"/>
  <c r="AU52" i="28"/>
  <c r="AV52" i="28"/>
  <c r="AW52" i="28"/>
  <c r="AX52" i="28"/>
  <c r="AY51" i="28"/>
  <c r="AS51" i="28"/>
  <c r="AU51" i="28"/>
  <c r="AV51" i="28"/>
  <c r="AW51" i="28"/>
  <c r="AX51" i="28"/>
  <c r="AY50" i="28"/>
  <c r="AS50" i="28"/>
  <c r="AU50" i="28"/>
  <c r="AV50" i="28"/>
  <c r="AW50" i="28"/>
  <c r="AX50" i="28"/>
  <c r="AY49" i="28"/>
  <c r="AS49" i="28"/>
  <c r="AU49" i="28"/>
  <c r="AV49" i="28"/>
  <c r="AW49" i="28"/>
  <c r="AX49" i="28"/>
  <c r="AY48" i="28"/>
  <c r="AS48" i="28"/>
  <c r="AU48" i="28"/>
  <c r="AV48" i="28"/>
  <c r="AW48" i="28"/>
  <c r="AX48" i="28"/>
  <c r="AY47" i="28"/>
  <c r="AS47" i="28"/>
  <c r="AU47" i="28"/>
  <c r="AV47" i="28"/>
  <c r="AW47" i="28"/>
  <c r="AX47" i="28"/>
  <c r="AS4" i="28"/>
  <c r="AT4" i="28"/>
  <c r="AS5" i="28"/>
  <c r="AV5" i="28"/>
  <c r="AS6" i="28"/>
  <c r="AV6" i="28"/>
  <c r="AS7" i="28"/>
  <c r="AV7" i="28"/>
  <c r="AS8" i="28"/>
  <c r="AV8" i="28"/>
  <c r="AS9" i="28"/>
  <c r="AV9" i="28"/>
  <c r="AS10" i="28"/>
  <c r="AV10" i="28"/>
  <c r="AS11" i="28"/>
  <c r="AV11" i="28"/>
  <c r="AS12" i="28"/>
  <c r="AV12" i="28"/>
  <c r="AS13" i="28"/>
  <c r="AV13" i="28"/>
  <c r="AS14" i="28"/>
  <c r="AV14" i="28"/>
  <c r="AS15" i="28"/>
  <c r="AV15" i="28"/>
  <c r="AS16" i="28"/>
  <c r="AV16" i="28"/>
  <c r="AS17" i="28"/>
  <c r="AV17" i="28"/>
  <c r="AS18" i="28"/>
  <c r="AV18" i="28"/>
  <c r="AS19" i="28"/>
  <c r="AV19" i="28"/>
  <c r="AS20" i="28"/>
  <c r="AV20" i="28"/>
  <c r="AS21" i="28"/>
  <c r="AV21" i="28"/>
  <c r="AS22" i="28"/>
  <c r="AV22" i="28"/>
  <c r="AS23" i="28"/>
  <c r="AV23" i="28"/>
  <c r="AS24" i="28"/>
  <c r="AV24" i="28"/>
  <c r="AS25" i="28"/>
  <c r="AV25" i="28"/>
  <c r="AS26" i="28"/>
  <c r="AV26" i="28"/>
  <c r="AS27" i="28"/>
  <c r="AV27" i="28"/>
  <c r="AS28" i="28"/>
  <c r="AV28" i="28"/>
  <c r="AS29" i="28"/>
  <c r="AV29" i="28"/>
  <c r="AS30" i="28"/>
  <c r="AV30" i="28"/>
  <c r="AS33" i="28"/>
  <c r="AV33" i="28"/>
  <c r="AS34" i="28"/>
  <c r="AV34" i="28"/>
  <c r="AS35" i="28"/>
  <c r="AV35" i="28"/>
  <c r="AS36" i="28"/>
  <c r="AV36" i="28"/>
  <c r="AS37" i="28"/>
  <c r="AV37" i="28"/>
  <c r="AS38" i="28"/>
  <c r="AV38" i="28"/>
  <c r="AS39" i="28"/>
  <c r="AV39" i="28"/>
  <c r="AS40" i="28"/>
  <c r="AV40" i="28"/>
  <c r="AS41" i="28"/>
  <c r="AV41" i="28"/>
  <c r="AS42" i="28"/>
  <c r="AV42" i="28"/>
  <c r="AS43" i="28"/>
  <c r="AV43" i="28"/>
  <c r="AS44" i="28"/>
  <c r="AV44" i="28"/>
  <c r="AS45" i="28"/>
  <c r="AV45" i="28"/>
  <c r="AS46" i="28"/>
  <c r="AU46" i="28"/>
  <c r="AV46" i="28"/>
  <c r="AW46" i="28"/>
  <c r="AX46" i="28"/>
  <c r="AY46" i="28"/>
  <c r="AU45" i="28"/>
  <c r="AW45" i="28"/>
  <c r="AX45" i="28"/>
  <c r="AY45" i="28"/>
  <c r="AU44" i="28"/>
  <c r="AW44" i="28"/>
  <c r="AX44" i="28"/>
  <c r="AY44" i="28"/>
  <c r="AU43" i="28"/>
  <c r="AW43" i="28"/>
  <c r="AX43" i="28"/>
  <c r="AY43" i="28"/>
  <c r="AU42" i="28"/>
  <c r="AW42" i="28"/>
  <c r="AX42" i="28"/>
  <c r="AY42" i="28"/>
  <c r="AU41" i="28"/>
  <c r="AW41" i="28"/>
  <c r="AX41" i="28"/>
  <c r="AY41" i="28"/>
  <c r="AU40" i="28"/>
  <c r="AW40" i="28"/>
  <c r="AX40" i="28"/>
  <c r="AY40" i="28"/>
  <c r="AU39" i="28"/>
  <c r="AW39" i="28"/>
  <c r="AX39" i="28"/>
  <c r="AY39" i="28"/>
  <c r="AU38" i="28"/>
  <c r="AW38" i="28"/>
  <c r="AX38" i="28"/>
  <c r="AY38" i="28"/>
  <c r="AU37" i="28"/>
  <c r="AW37" i="28"/>
  <c r="AX37" i="28"/>
  <c r="AY37" i="28"/>
  <c r="AU36" i="28"/>
  <c r="AW36" i="28"/>
  <c r="AX36" i="28"/>
  <c r="AY36" i="28"/>
  <c r="U36" i="28"/>
  <c r="AU35" i="28"/>
  <c r="AW35" i="28"/>
  <c r="AX35" i="28"/>
  <c r="AY35" i="28"/>
  <c r="AU34" i="28"/>
  <c r="AW34" i="28"/>
  <c r="AX34" i="28"/>
  <c r="AY34" i="28"/>
  <c r="AU33" i="28"/>
  <c r="AW33" i="28"/>
  <c r="AX33" i="28"/>
  <c r="AY33" i="28"/>
  <c r="S16" i="28"/>
  <c r="V16" i="28"/>
  <c r="I33" i="28"/>
  <c r="S15" i="28"/>
  <c r="T15" i="28"/>
  <c r="V15" i="28"/>
  <c r="I32" i="28"/>
  <c r="R6" i="28"/>
  <c r="S6" i="28"/>
  <c r="T6" i="28"/>
  <c r="S11" i="28"/>
  <c r="T11" i="28"/>
  <c r="W27" i="28"/>
  <c r="W23" i="28"/>
  <c r="W31" i="28"/>
  <c r="T14" i="28"/>
  <c r="V14" i="28"/>
  <c r="I31" i="28"/>
  <c r="AU30" i="28"/>
  <c r="AW30" i="28"/>
  <c r="AX30" i="28"/>
  <c r="AY30" i="28"/>
  <c r="S10" i="28"/>
  <c r="T10" i="28"/>
  <c r="W25" i="28"/>
  <c r="W30" i="28"/>
  <c r="AU29" i="28"/>
  <c r="AW29" i="28"/>
  <c r="AX29" i="28"/>
  <c r="AY29" i="28"/>
  <c r="W24" i="28"/>
  <c r="W29" i="28"/>
  <c r="I23" i="28"/>
  <c r="AU5" i="28"/>
  <c r="AW5" i="28"/>
  <c r="AX5" i="28"/>
  <c r="AY5" i="28"/>
  <c r="AU6" i="28"/>
  <c r="AW6" i="28"/>
  <c r="AX6" i="28"/>
  <c r="AY6" i="28"/>
  <c r="AU7" i="28"/>
  <c r="AW7" i="28"/>
  <c r="AX7" i="28"/>
  <c r="AY7" i="28"/>
  <c r="AU8" i="28"/>
  <c r="AW8" i="28"/>
  <c r="AX8" i="28"/>
  <c r="AY8" i="28"/>
  <c r="AU9" i="28"/>
  <c r="AW9" i="28"/>
  <c r="AX9" i="28"/>
  <c r="AY9" i="28"/>
  <c r="AU10" i="28"/>
  <c r="AW10" i="28"/>
  <c r="AX10" i="28"/>
  <c r="AY10" i="28"/>
  <c r="AU11" i="28"/>
  <c r="AW11" i="28"/>
  <c r="AX11" i="28"/>
  <c r="AY11" i="28"/>
  <c r="AU12" i="28"/>
  <c r="AW12" i="28"/>
  <c r="AX12" i="28"/>
  <c r="AY12" i="28"/>
  <c r="AU13" i="28"/>
  <c r="AW13" i="28"/>
  <c r="AX13" i="28"/>
  <c r="AY13" i="28"/>
  <c r="AU14" i="28"/>
  <c r="AW14" i="28"/>
  <c r="AX14" i="28"/>
  <c r="AY14" i="28"/>
  <c r="AU15" i="28"/>
  <c r="AW15" i="28"/>
  <c r="AX15" i="28"/>
  <c r="AY15" i="28"/>
  <c r="AU16" i="28"/>
  <c r="AW16" i="28"/>
  <c r="AX16" i="28"/>
  <c r="AY16" i="28"/>
  <c r="AU17" i="28"/>
  <c r="AW17" i="28"/>
  <c r="AX17" i="28"/>
  <c r="AY17" i="28"/>
  <c r="AU18" i="28"/>
  <c r="AW18" i="28"/>
  <c r="AX18" i="28"/>
  <c r="AY18" i="28"/>
  <c r="AU19" i="28"/>
  <c r="AW19" i="28"/>
  <c r="AX19" i="28"/>
  <c r="AY19" i="28"/>
  <c r="AU20" i="28"/>
  <c r="AW20" i="28"/>
  <c r="AX20" i="28"/>
  <c r="AY20" i="28"/>
  <c r="AU21" i="28"/>
  <c r="AW21" i="28"/>
  <c r="AX21" i="28"/>
  <c r="AY21" i="28"/>
  <c r="AU22" i="28"/>
  <c r="AW22" i="28"/>
  <c r="AX22" i="28"/>
  <c r="AY22" i="28"/>
  <c r="AU23" i="28"/>
  <c r="AW23" i="28"/>
  <c r="AX23" i="28"/>
  <c r="AY23" i="28"/>
  <c r="AU24" i="28"/>
  <c r="AW24" i="28"/>
  <c r="AX24" i="28"/>
  <c r="AY24" i="28"/>
  <c r="AU25" i="28"/>
  <c r="AW25" i="28"/>
  <c r="AX25" i="28"/>
  <c r="AY25" i="28"/>
  <c r="AU26" i="28"/>
  <c r="AW26" i="28"/>
  <c r="AX26" i="28"/>
  <c r="AY26" i="28"/>
  <c r="AU27" i="28"/>
  <c r="AW27" i="28"/>
  <c r="AX27" i="28"/>
  <c r="AY27" i="28"/>
  <c r="AU28" i="28"/>
  <c r="AW28" i="28"/>
  <c r="AX28" i="28"/>
  <c r="AY28" i="28"/>
  <c r="AZ5" i="28"/>
  <c r="R19" i="28"/>
  <c r="AW4" i="28"/>
  <c r="AX4" i="28"/>
  <c r="AY4" i="28"/>
  <c r="S19" i="28"/>
  <c r="T19" i="28"/>
  <c r="V19" i="28"/>
  <c r="I24" i="28"/>
  <c r="G29" i="28"/>
  <c r="I22" i="28"/>
  <c r="G28" i="28"/>
  <c r="I21" i="28"/>
  <c r="G27" i="28"/>
  <c r="W26" i="28"/>
  <c r="S25" i="28"/>
  <c r="I25" i="28"/>
  <c r="S24" i="28"/>
  <c r="S23" i="28"/>
  <c r="W16" i="28"/>
  <c r="W15" i="28"/>
  <c r="W14" i="28"/>
  <c r="BA5" i="28"/>
  <c r="AR5" i="26"/>
  <c r="AR6" i="26"/>
  <c r="AR7" i="26"/>
  <c r="AR8" i="26"/>
  <c r="AR9" i="26"/>
  <c r="AR10" i="26"/>
  <c r="AR11" i="26"/>
  <c r="AR12" i="26"/>
  <c r="AR13" i="26"/>
  <c r="AR14" i="26"/>
  <c r="AR15" i="26"/>
  <c r="AR16" i="26"/>
  <c r="AR17" i="26"/>
  <c r="AR18" i="26"/>
  <c r="AR19" i="26"/>
  <c r="AR20" i="26"/>
  <c r="AR21" i="26"/>
  <c r="AR22" i="26"/>
  <c r="AR23" i="26"/>
  <c r="AR24" i="26"/>
  <c r="AR25" i="26"/>
  <c r="AR26" i="26"/>
  <c r="AR27" i="26"/>
  <c r="AR28" i="26"/>
  <c r="AR29" i="26"/>
  <c r="AR30" i="26"/>
  <c r="AR33" i="26"/>
  <c r="AR34" i="26"/>
  <c r="AR35" i="26"/>
  <c r="AR36" i="26"/>
  <c r="AR37" i="26"/>
  <c r="AR38" i="26"/>
  <c r="AR39" i="26"/>
  <c r="AR40" i="26"/>
  <c r="AR41" i="26"/>
  <c r="AR42" i="26"/>
  <c r="AR43" i="26"/>
  <c r="AR44" i="26"/>
  <c r="AR45" i="26"/>
  <c r="AR46" i="26"/>
  <c r="AR47" i="26"/>
  <c r="AR48" i="26"/>
  <c r="AR49" i="26"/>
  <c r="AR50" i="26"/>
  <c r="AR51" i="26"/>
  <c r="AR52" i="26"/>
  <c r="AR53" i="26"/>
  <c r="AR54" i="26"/>
  <c r="AR55" i="26"/>
  <c r="AR56" i="26"/>
  <c r="AR57" i="26"/>
  <c r="AR58" i="26"/>
  <c r="AR59" i="26"/>
  <c r="AR60" i="26"/>
  <c r="AR61" i="26"/>
  <c r="AR62" i="26"/>
  <c r="AR63" i="26"/>
  <c r="AR64" i="26"/>
  <c r="AR65" i="26"/>
  <c r="AR66" i="26"/>
  <c r="AR67" i="26"/>
  <c r="AR68" i="26"/>
  <c r="AR69" i="26"/>
  <c r="AR70" i="26"/>
  <c r="AR71" i="26"/>
  <c r="AR72" i="26"/>
  <c r="AR73" i="26"/>
  <c r="AR74" i="26"/>
  <c r="AR75" i="26"/>
  <c r="AR76" i="26"/>
  <c r="AR77" i="26"/>
  <c r="AR78" i="26"/>
  <c r="AR79" i="26"/>
  <c r="AR80" i="26"/>
  <c r="AR81" i="26"/>
  <c r="AR82" i="26"/>
  <c r="AR83" i="26"/>
  <c r="AR84" i="26"/>
  <c r="AR85" i="26"/>
  <c r="AR86" i="26"/>
  <c r="AR87" i="26"/>
  <c r="AR88" i="26"/>
  <c r="AR89" i="26"/>
  <c r="AR90" i="26"/>
  <c r="AR91" i="26"/>
  <c r="AR92" i="26"/>
  <c r="AR93" i="26"/>
  <c r="AR94" i="26"/>
  <c r="AR95" i="26"/>
  <c r="AR96" i="26"/>
  <c r="AR97" i="26"/>
  <c r="AR98" i="26"/>
  <c r="AR99" i="26"/>
  <c r="AR100" i="26"/>
  <c r="AR101" i="26"/>
  <c r="AR102" i="26"/>
  <c r="AR103" i="26"/>
  <c r="AR104" i="26"/>
  <c r="AR105" i="26"/>
  <c r="AR106" i="26"/>
  <c r="AR107" i="26"/>
  <c r="AR108" i="26"/>
  <c r="AR109" i="26"/>
  <c r="AR110" i="26"/>
  <c r="AR111" i="26"/>
  <c r="AR112" i="26"/>
  <c r="AR113" i="26"/>
  <c r="AY113" i="26"/>
  <c r="AS113" i="26"/>
  <c r="AU113" i="26"/>
  <c r="AV113" i="26"/>
  <c r="AW113" i="26"/>
  <c r="AX113" i="26"/>
  <c r="AY112" i="26"/>
  <c r="AS112" i="26"/>
  <c r="AU112" i="26"/>
  <c r="AV112" i="26"/>
  <c r="AW112" i="26"/>
  <c r="AX112" i="26"/>
  <c r="AY111" i="26"/>
  <c r="AS111" i="26"/>
  <c r="AU111" i="26"/>
  <c r="AV111" i="26"/>
  <c r="AW111" i="26"/>
  <c r="AX111" i="26"/>
  <c r="AY110" i="26"/>
  <c r="AS110" i="26"/>
  <c r="AU110" i="26"/>
  <c r="AV110" i="26"/>
  <c r="AW110" i="26"/>
  <c r="AX110" i="26"/>
  <c r="AY109" i="26"/>
  <c r="AS109" i="26"/>
  <c r="AU109" i="26"/>
  <c r="AV109" i="26"/>
  <c r="AW109" i="26"/>
  <c r="AX109" i="26"/>
  <c r="AY108" i="26"/>
  <c r="AS108" i="26"/>
  <c r="AU108" i="26"/>
  <c r="AV108" i="26"/>
  <c r="AW108" i="26"/>
  <c r="AX108" i="26"/>
  <c r="AY107" i="26"/>
  <c r="AS107" i="26"/>
  <c r="AU107" i="26"/>
  <c r="AV107" i="26"/>
  <c r="AW107" i="26"/>
  <c r="AX107" i="26"/>
  <c r="AY106" i="26"/>
  <c r="AS106" i="26"/>
  <c r="AU106" i="26"/>
  <c r="AV106" i="26"/>
  <c r="AW106" i="26"/>
  <c r="AX106" i="26"/>
  <c r="AY105" i="26"/>
  <c r="AS105" i="26"/>
  <c r="AU105" i="26"/>
  <c r="AV105" i="26"/>
  <c r="AW105" i="26"/>
  <c r="AX105" i="26"/>
  <c r="AY104" i="26"/>
  <c r="AS104" i="26"/>
  <c r="AU104" i="26"/>
  <c r="AV104" i="26"/>
  <c r="AW104" i="26"/>
  <c r="AX104" i="26"/>
  <c r="AY103" i="26"/>
  <c r="AS103" i="26"/>
  <c r="AU103" i="26"/>
  <c r="AV103" i="26"/>
  <c r="AW103" i="26"/>
  <c r="AX103" i="26"/>
  <c r="AY102" i="26"/>
  <c r="AS102" i="26"/>
  <c r="AU102" i="26"/>
  <c r="AV102" i="26"/>
  <c r="AW102" i="26"/>
  <c r="AX102" i="26"/>
  <c r="AY101" i="26"/>
  <c r="AS101" i="26"/>
  <c r="AU101" i="26"/>
  <c r="AV101" i="26"/>
  <c r="AW101" i="26"/>
  <c r="AX101" i="26"/>
  <c r="AY100" i="26"/>
  <c r="AS100" i="26"/>
  <c r="AU100" i="26"/>
  <c r="AV100" i="26"/>
  <c r="AW100" i="26"/>
  <c r="AX100" i="26"/>
  <c r="AY99" i="26"/>
  <c r="AS99" i="26"/>
  <c r="AU99" i="26"/>
  <c r="AV99" i="26"/>
  <c r="AW99" i="26"/>
  <c r="AX99" i="26"/>
  <c r="AY98" i="26"/>
  <c r="AS98" i="26"/>
  <c r="AU98" i="26"/>
  <c r="AV98" i="26"/>
  <c r="AW98" i="26"/>
  <c r="AX98" i="26"/>
  <c r="AY97" i="26"/>
  <c r="AS97" i="26"/>
  <c r="AU97" i="26"/>
  <c r="AV97" i="26"/>
  <c r="AW97" i="26"/>
  <c r="AX97" i="26"/>
  <c r="AY96" i="26"/>
  <c r="AS96" i="26"/>
  <c r="AU96" i="26"/>
  <c r="AV96" i="26"/>
  <c r="AW96" i="26"/>
  <c r="AX96" i="26"/>
  <c r="AY95" i="26"/>
  <c r="AS95" i="26"/>
  <c r="AU95" i="26"/>
  <c r="AV95" i="26"/>
  <c r="AW95" i="26"/>
  <c r="AX95" i="26"/>
  <c r="AY94" i="26"/>
  <c r="AS94" i="26"/>
  <c r="AU94" i="26"/>
  <c r="AV94" i="26"/>
  <c r="AW94" i="26"/>
  <c r="AX94" i="26"/>
  <c r="AY93" i="26"/>
  <c r="AS93" i="26"/>
  <c r="AU93" i="26"/>
  <c r="AV93" i="26"/>
  <c r="AW93" i="26"/>
  <c r="AX93" i="26"/>
  <c r="AY92" i="26"/>
  <c r="AS92" i="26"/>
  <c r="AU92" i="26"/>
  <c r="AV92" i="26"/>
  <c r="AW92" i="26"/>
  <c r="AX92" i="26"/>
  <c r="AY91" i="26"/>
  <c r="AS91" i="26"/>
  <c r="AU91" i="26"/>
  <c r="AV91" i="26"/>
  <c r="AW91" i="26"/>
  <c r="AX91" i="26"/>
  <c r="AY90" i="26"/>
  <c r="AS90" i="26"/>
  <c r="AU90" i="26"/>
  <c r="AV90" i="26"/>
  <c r="AW90" i="26"/>
  <c r="AX90" i="26"/>
  <c r="AY89" i="26"/>
  <c r="AS89" i="26"/>
  <c r="AU89" i="26"/>
  <c r="AV89" i="26"/>
  <c r="AW89" i="26"/>
  <c r="AX89" i="26"/>
  <c r="AY88" i="26"/>
  <c r="AS88" i="26"/>
  <c r="AU88" i="26"/>
  <c r="AV88" i="26"/>
  <c r="AW88" i="26"/>
  <c r="AX88" i="26"/>
  <c r="AY87" i="26"/>
  <c r="AS87" i="26"/>
  <c r="AU87" i="26"/>
  <c r="AV87" i="26"/>
  <c r="AW87" i="26"/>
  <c r="AX87" i="26"/>
  <c r="AY86" i="26"/>
  <c r="AS86" i="26"/>
  <c r="AU86" i="26"/>
  <c r="AV86" i="26"/>
  <c r="AW86" i="26"/>
  <c r="AX86" i="26"/>
  <c r="AY85" i="26"/>
  <c r="AS85" i="26"/>
  <c r="AU85" i="26"/>
  <c r="AV85" i="26"/>
  <c r="AW85" i="26"/>
  <c r="AX85" i="26"/>
  <c r="AY84" i="26"/>
  <c r="AS84" i="26"/>
  <c r="AU84" i="26"/>
  <c r="AV84" i="26"/>
  <c r="AW84" i="26"/>
  <c r="AX84" i="26"/>
  <c r="AY83" i="26"/>
  <c r="AS83" i="26"/>
  <c r="AU83" i="26"/>
  <c r="AV83" i="26"/>
  <c r="AW83" i="26"/>
  <c r="AX83" i="26"/>
  <c r="AY82" i="26"/>
  <c r="AS82" i="26"/>
  <c r="AU82" i="26"/>
  <c r="AV82" i="26"/>
  <c r="AW82" i="26"/>
  <c r="AX82" i="26"/>
  <c r="AY81" i="26"/>
  <c r="AS81" i="26"/>
  <c r="AU81" i="26"/>
  <c r="AV81" i="26"/>
  <c r="AW81" i="26"/>
  <c r="AX81" i="26"/>
  <c r="AY80" i="26"/>
  <c r="AS80" i="26"/>
  <c r="AU80" i="26"/>
  <c r="AV80" i="26"/>
  <c r="AW80" i="26"/>
  <c r="AX80" i="26"/>
  <c r="AY79" i="26"/>
  <c r="AS79" i="26"/>
  <c r="AU79" i="26"/>
  <c r="AV79" i="26"/>
  <c r="AW79" i="26"/>
  <c r="AX79" i="26"/>
  <c r="AY78" i="26"/>
  <c r="AS78" i="26"/>
  <c r="AU78" i="26"/>
  <c r="AV78" i="26"/>
  <c r="AW78" i="26"/>
  <c r="AX78" i="26"/>
  <c r="AY77" i="26"/>
  <c r="AS77" i="26"/>
  <c r="AU77" i="26"/>
  <c r="AV77" i="26"/>
  <c r="AW77" i="26"/>
  <c r="AX77" i="26"/>
  <c r="AY76" i="26"/>
  <c r="AS76" i="26"/>
  <c r="AU76" i="26"/>
  <c r="AV76" i="26"/>
  <c r="AW76" i="26"/>
  <c r="AX76" i="26"/>
  <c r="AY75" i="26"/>
  <c r="AS75" i="26"/>
  <c r="AU75" i="26"/>
  <c r="AV75" i="26"/>
  <c r="AW75" i="26"/>
  <c r="AX75" i="26"/>
  <c r="AY74" i="26"/>
  <c r="AS74" i="26"/>
  <c r="AU74" i="26"/>
  <c r="AV74" i="26"/>
  <c r="AW74" i="26"/>
  <c r="AX74" i="26"/>
  <c r="AY73" i="26"/>
  <c r="AS73" i="26"/>
  <c r="AU73" i="26"/>
  <c r="AV73" i="26"/>
  <c r="AW73" i="26"/>
  <c r="AX73" i="26"/>
  <c r="AY72" i="26"/>
  <c r="AS72" i="26"/>
  <c r="AU72" i="26"/>
  <c r="AV72" i="26"/>
  <c r="AW72" i="26"/>
  <c r="AX72" i="26"/>
  <c r="AY71" i="26"/>
  <c r="AS71" i="26"/>
  <c r="AU71" i="26"/>
  <c r="AV71" i="26"/>
  <c r="AW71" i="26"/>
  <c r="AX71" i="26"/>
  <c r="AY70" i="26"/>
  <c r="AS70" i="26"/>
  <c r="AU70" i="26"/>
  <c r="AV70" i="26"/>
  <c r="AW70" i="26"/>
  <c r="AX70" i="26"/>
  <c r="AY69" i="26"/>
  <c r="AS69" i="26"/>
  <c r="AU69" i="26"/>
  <c r="AV69" i="26"/>
  <c r="AW69" i="26"/>
  <c r="AX69" i="26"/>
  <c r="AY68" i="26"/>
  <c r="AS68" i="26"/>
  <c r="AU68" i="26"/>
  <c r="AV68" i="26"/>
  <c r="AW68" i="26"/>
  <c r="AX68" i="26"/>
  <c r="AY67" i="26"/>
  <c r="AS67" i="26"/>
  <c r="AU67" i="26"/>
  <c r="AV67" i="26"/>
  <c r="AW67" i="26"/>
  <c r="AX67" i="26"/>
  <c r="AY66" i="26"/>
  <c r="AS66" i="26"/>
  <c r="AU66" i="26"/>
  <c r="AV66" i="26"/>
  <c r="AW66" i="26"/>
  <c r="AX66" i="26"/>
  <c r="AY65" i="26"/>
  <c r="AS65" i="26"/>
  <c r="AU65" i="26"/>
  <c r="AV65" i="26"/>
  <c r="AW65" i="26"/>
  <c r="AX65" i="26"/>
  <c r="AY64" i="26"/>
  <c r="AS64" i="26"/>
  <c r="AU64" i="26"/>
  <c r="AV64" i="26"/>
  <c r="AW64" i="26"/>
  <c r="AX64" i="26"/>
  <c r="AY63" i="26"/>
  <c r="AS63" i="26"/>
  <c r="AU63" i="26"/>
  <c r="AV63" i="26"/>
  <c r="AW63" i="26"/>
  <c r="AX63" i="26"/>
  <c r="AY62" i="26"/>
  <c r="AS62" i="26"/>
  <c r="AU62" i="26"/>
  <c r="AV62" i="26"/>
  <c r="AW62" i="26"/>
  <c r="AX62" i="26"/>
  <c r="AY61" i="26"/>
  <c r="AS61" i="26"/>
  <c r="AU61" i="26"/>
  <c r="AV61" i="26"/>
  <c r="AW61" i="26"/>
  <c r="AX61" i="26"/>
  <c r="AY60" i="26"/>
  <c r="AS60" i="26"/>
  <c r="AU60" i="26"/>
  <c r="AV60" i="26"/>
  <c r="AW60" i="26"/>
  <c r="AX60" i="26"/>
  <c r="AY59" i="26"/>
  <c r="AS59" i="26"/>
  <c r="AU59" i="26"/>
  <c r="AV59" i="26"/>
  <c r="AW59" i="26"/>
  <c r="AX59" i="26"/>
  <c r="AY58" i="26"/>
  <c r="AS58" i="26"/>
  <c r="AU58" i="26"/>
  <c r="AV58" i="26"/>
  <c r="AW58" i="26"/>
  <c r="AX58" i="26"/>
  <c r="AY57" i="26"/>
  <c r="AS57" i="26"/>
  <c r="AU57" i="26"/>
  <c r="AV57" i="26"/>
  <c r="AW57" i="26"/>
  <c r="AX57" i="26"/>
  <c r="AY56" i="26"/>
  <c r="AS56" i="26"/>
  <c r="AU56" i="26"/>
  <c r="AV56" i="26"/>
  <c r="AW56" i="26"/>
  <c r="AX56" i="26"/>
  <c r="AY55" i="26"/>
  <c r="AS55" i="26"/>
  <c r="AU55" i="26"/>
  <c r="AV55" i="26"/>
  <c r="AW55" i="26"/>
  <c r="AX55" i="26"/>
  <c r="AY54" i="26"/>
  <c r="AS54" i="26"/>
  <c r="AU54" i="26"/>
  <c r="AV54" i="26"/>
  <c r="AW54" i="26"/>
  <c r="AX54" i="26"/>
  <c r="AY53" i="26"/>
  <c r="AS53" i="26"/>
  <c r="AU53" i="26"/>
  <c r="AV53" i="26"/>
  <c r="AW53" i="26"/>
  <c r="AX53" i="26"/>
  <c r="AY52" i="26"/>
  <c r="AS52" i="26"/>
  <c r="AU52" i="26"/>
  <c r="AV52" i="26"/>
  <c r="AW52" i="26"/>
  <c r="AX52" i="26"/>
  <c r="AY51" i="26"/>
  <c r="AS51" i="26"/>
  <c r="AU51" i="26"/>
  <c r="AV51" i="26"/>
  <c r="AW51" i="26"/>
  <c r="AX51" i="26"/>
  <c r="AY50" i="26"/>
  <c r="AS50" i="26"/>
  <c r="AU50" i="26"/>
  <c r="AV50" i="26"/>
  <c r="AW50" i="26"/>
  <c r="AX50" i="26"/>
  <c r="AY49" i="26"/>
  <c r="AS49" i="26"/>
  <c r="AU49" i="26"/>
  <c r="AV49" i="26"/>
  <c r="AW49" i="26"/>
  <c r="AX49" i="26"/>
  <c r="AY48" i="26"/>
  <c r="AS48" i="26"/>
  <c r="AU48" i="26"/>
  <c r="AV48" i="26"/>
  <c r="AW48" i="26"/>
  <c r="AX48" i="26"/>
  <c r="AY47" i="26"/>
  <c r="AS47" i="26"/>
  <c r="AU47" i="26"/>
  <c r="AV47" i="26"/>
  <c r="AW47" i="26"/>
  <c r="AX47" i="26"/>
  <c r="AY46" i="26"/>
  <c r="AS46" i="26"/>
  <c r="AU46" i="26"/>
  <c r="AV46" i="26"/>
  <c r="AW46" i="26"/>
  <c r="AX46" i="26"/>
  <c r="AY45" i="26"/>
  <c r="AS45" i="26"/>
  <c r="AU45" i="26"/>
  <c r="AV45" i="26"/>
  <c r="AW45" i="26"/>
  <c r="AX45" i="26"/>
  <c r="AY44" i="26"/>
  <c r="AS44" i="26"/>
  <c r="AU44" i="26"/>
  <c r="AV44" i="26"/>
  <c r="AW44" i="26"/>
  <c r="AX44" i="26"/>
  <c r="AY43" i="26"/>
  <c r="AS43" i="26"/>
  <c r="AU43" i="26"/>
  <c r="AV43" i="26"/>
  <c r="AW43" i="26"/>
  <c r="AX43" i="26"/>
  <c r="AY42" i="26"/>
  <c r="AS42" i="26"/>
  <c r="AU42" i="26"/>
  <c r="AV42" i="26"/>
  <c r="AW42" i="26"/>
  <c r="AX42" i="26"/>
  <c r="AY41" i="26"/>
  <c r="AS41" i="26"/>
  <c r="AU41" i="26"/>
  <c r="AV41" i="26"/>
  <c r="AW41" i="26"/>
  <c r="AX41" i="26"/>
  <c r="AY40" i="26"/>
  <c r="AS40" i="26"/>
  <c r="AU40" i="26"/>
  <c r="AV40" i="26"/>
  <c r="AW40" i="26"/>
  <c r="AX40" i="26"/>
  <c r="AY39" i="26"/>
  <c r="AS39" i="26"/>
  <c r="AU39" i="26"/>
  <c r="AV39" i="26"/>
  <c r="AW39" i="26"/>
  <c r="AX39" i="26"/>
  <c r="AY38" i="26"/>
  <c r="AS38" i="26"/>
  <c r="AU38" i="26"/>
  <c r="AV38" i="26"/>
  <c r="AW38" i="26"/>
  <c r="AX38" i="26"/>
  <c r="AY37" i="26"/>
  <c r="AS37" i="26"/>
  <c r="AU37" i="26"/>
  <c r="AV37" i="26"/>
  <c r="AW37" i="26"/>
  <c r="AX37" i="26"/>
  <c r="AY36" i="26"/>
  <c r="AS36" i="26"/>
  <c r="AU36" i="26"/>
  <c r="AV36" i="26"/>
  <c r="AW36" i="26"/>
  <c r="AX36" i="26"/>
  <c r="U36" i="26"/>
  <c r="AY35" i="26"/>
  <c r="AS35" i="26"/>
  <c r="AU35" i="26"/>
  <c r="AV35" i="26"/>
  <c r="AW35" i="26"/>
  <c r="AX35" i="26"/>
  <c r="AY34" i="26"/>
  <c r="AS34" i="26"/>
  <c r="AU34" i="26"/>
  <c r="AV34" i="26"/>
  <c r="AW34" i="26"/>
  <c r="AX34" i="26"/>
  <c r="AY33" i="26"/>
  <c r="AS33" i="26"/>
  <c r="AU33" i="26"/>
  <c r="AV33" i="26"/>
  <c r="AW33" i="26"/>
  <c r="AX33" i="26"/>
  <c r="S16" i="26"/>
  <c r="V16" i="26"/>
  <c r="I33" i="26"/>
  <c r="S15" i="26"/>
  <c r="T15" i="26"/>
  <c r="V15" i="26"/>
  <c r="I32" i="26"/>
  <c r="W27" i="26"/>
  <c r="W23" i="26"/>
  <c r="W31" i="26"/>
  <c r="T14" i="26"/>
  <c r="V14" i="26"/>
  <c r="I31" i="26"/>
  <c r="AY30" i="26"/>
  <c r="AS30" i="26"/>
  <c r="AU30" i="26"/>
  <c r="AV30" i="26"/>
  <c r="AW30" i="26"/>
  <c r="AX30" i="26"/>
  <c r="S10" i="26"/>
  <c r="T10" i="26"/>
  <c r="W25" i="26"/>
  <c r="W30" i="26"/>
  <c r="AY29" i="26"/>
  <c r="AS29" i="26"/>
  <c r="AU29" i="26"/>
  <c r="AV29" i="26"/>
  <c r="AW29" i="26"/>
  <c r="AX29" i="26"/>
  <c r="W24" i="26"/>
  <c r="W29" i="26"/>
  <c r="I23" i="26"/>
  <c r="AS4" i="26"/>
  <c r="AT4" i="26"/>
  <c r="AS5" i="26"/>
  <c r="AU5" i="26"/>
  <c r="AV5" i="26"/>
  <c r="AW5" i="26"/>
  <c r="AX5" i="26"/>
  <c r="AY5" i="26"/>
  <c r="AS6" i="26"/>
  <c r="AU6" i="26"/>
  <c r="AV6" i="26"/>
  <c r="AW6" i="26"/>
  <c r="AX6" i="26"/>
  <c r="AY6" i="26"/>
  <c r="AS7" i="26"/>
  <c r="AU7" i="26"/>
  <c r="AV7" i="26"/>
  <c r="AW7" i="26"/>
  <c r="AX7" i="26"/>
  <c r="AY7" i="26"/>
  <c r="AS8" i="26"/>
  <c r="AU8" i="26"/>
  <c r="AV8" i="26"/>
  <c r="AW8" i="26"/>
  <c r="AX8" i="26"/>
  <c r="AY8" i="26"/>
  <c r="AS9" i="26"/>
  <c r="AU9" i="26"/>
  <c r="AV9" i="26"/>
  <c r="AW9" i="26"/>
  <c r="AX9" i="26"/>
  <c r="AY9" i="26"/>
  <c r="AS10" i="26"/>
  <c r="AU10" i="26"/>
  <c r="AV10" i="26"/>
  <c r="AW10" i="26"/>
  <c r="AX10" i="26"/>
  <c r="AY10" i="26"/>
  <c r="AS11" i="26"/>
  <c r="AU11" i="26"/>
  <c r="AV11" i="26"/>
  <c r="AW11" i="26"/>
  <c r="AX11" i="26"/>
  <c r="AY11" i="26"/>
  <c r="AS12" i="26"/>
  <c r="AU12" i="26"/>
  <c r="AV12" i="26"/>
  <c r="AW12" i="26"/>
  <c r="AX12" i="26"/>
  <c r="AY12" i="26"/>
  <c r="AS13" i="26"/>
  <c r="AU13" i="26"/>
  <c r="AV13" i="26"/>
  <c r="AW13" i="26"/>
  <c r="AX13" i="26"/>
  <c r="AY13" i="26"/>
  <c r="AS14" i="26"/>
  <c r="AU14" i="26"/>
  <c r="AV14" i="26"/>
  <c r="AW14" i="26"/>
  <c r="AX14" i="26"/>
  <c r="AY14" i="26"/>
  <c r="AS15" i="26"/>
  <c r="AU15" i="26"/>
  <c r="AV15" i="26"/>
  <c r="AW15" i="26"/>
  <c r="AX15" i="26"/>
  <c r="AY15" i="26"/>
  <c r="AS16" i="26"/>
  <c r="AU16" i="26"/>
  <c r="AV16" i="26"/>
  <c r="AW16" i="26"/>
  <c r="AX16" i="26"/>
  <c r="AY16" i="26"/>
  <c r="AS17" i="26"/>
  <c r="AU17" i="26"/>
  <c r="AV17" i="26"/>
  <c r="AW17" i="26"/>
  <c r="AX17" i="26"/>
  <c r="AY17" i="26"/>
  <c r="AS18" i="26"/>
  <c r="AU18" i="26"/>
  <c r="AV18" i="26"/>
  <c r="AW18" i="26"/>
  <c r="AX18" i="26"/>
  <c r="AY18" i="26"/>
  <c r="AS19" i="26"/>
  <c r="AU19" i="26"/>
  <c r="AV19" i="26"/>
  <c r="AW19" i="26"/>
  <c r="AX19" i="26"/>
  <c r="AY19" i="26"/>
  <c r="AY20" i="26"/>
  <c r="AY21" i="26"/>
  <c r="AY22" i="26"/>
  <c r="AY23" i="26"/>
  <c r="AY24" i="26"/>
  <c r="AY25" i="26"/>
  <c r="AY26" i="26"/>
  <c r="AY27" i="26"/>
  <c r="AY28" i="26"/>
  <c r="AZ5" i="26"/>
  <c r="R19" i="26"/>
  <c r="AW4" i="26"/>
  <c r="AX4" i="26"/>
  <c r="AY4" i="26"/>
  <c r="S19" i="26"/>
  <c r="T19" i="26"/>
  <c r="V19" i="26"/>
  <c r="I24" i="26"/>
  <c r="G29" i="26"/>
  <c r="AS28" i="26"/>
  <c r="AU28" i="26"/>
  <c r="AV28" i="26"/>
  <c r="AW28" i="26"/>
  <c r="AX28" i="26"/>
  <c r="I22" i="26"/>
  <c r="G28" i="26"/>
  <c r="AS27" i="26"/>
  <c r="AU27" i="26"/>
  <c r="AV27" i="26"/>
  <c r="AW27" i="26"/>
  <c r="AX27" i="26"/>
  <c r="I21" i="26"/>
  <c r="G27" i="26"/>
  <c r="AS26" i="26"/>
  <c r="AU26" i="26"/>
  <c r="AV26" i="26"/>
  <c r="AW26" i="26"/>
  <c r="AX26" i="26"/>
  <c r="W26" i="26"/>
  <c r="AS25" i="26"/>
  <c r="AU25" i="26"/>
  <c r="AV25" i="26"/>
  <c r="AW25" i="26"/>
  <c r="AX25" i="26"/>
  <c r="S25" i="26"/>
  <c r="I25" i="26"/>
  <c r="AS24" i="26"/>
  <c r="AU24" i="26"/>
  <c r="AV24" i="26"/>
  <c r="AW24" i="26"/>
  <c r="AX24" i="26"/>
  <c r="S24" i="26"/>
  <c r="AS23" i="26"/>
  <c r="AU23" i="26"/>
  <c r="AV23" i="26"/>
  <c r="AW23" i="26"/>
  <c r="AX23" i="26"/>
  <c r="S23" i="26"/>
  <c r="AS22" i="26"/>
  <c r="AU22" i="26"/>
  <c r="AV22" i="26"/>
  <c r="AW22" i="26"/>
  <c r="AX22" i="26"/>
  <c r="AS21" i="26"/>
  <c r="AU21" i="26"/>
  <c r="AV21" i="26"/>
  <c r="AW21" i="26"/>
  <c r="AX21" i="26"/>
  <c r="AS20" i="26"/>
  <c r="AU20" i="26"/>
  <c r="AV20" i="26"/>
  <c r="AW20" i="26"/>
  <c r="AX20" i="26"/>
  <c r="W16" i="26"/>
  <c r="W15" i="26"/>
  <c r="W14" i="26"/>
  <c r="BA5" i="26"/>
  <c r="AR5" i="24"/>
  <c r="AR6" i="24"/>
  <c r="AR7" i="24"/>
  <c r="AR8" i="24"/>
  <c r="AR9" i="24"/>
  <c r="AR10" i="24"/>
  <c r="AR11" i="24"/>
  <c r="AR12" i="24"/>
  <c r="AR13" i="24"/>
  <c r="AR14" i="24"/>
  <c r="AR15" i="24"/>
  <c r="AR16" i="24"/>
  <c r="AR17" i="24"/>
  <c r="AR18" i="24"/>
  <c r="AR19" i="24"/>
  <c r="AR20" i="24"/>
  <c r="AR21" i="24"/>
  <c r="AR22" i="24"/>
  <c r="AR23" i="24"/>
  <c r="AR24" i="24"/>
  <c r="AR25" i="24"/>
  <c r="AR26" i="24"/>
  <c r="AR27" i="24"/>
  <c r="AR28" i="24"/>
  <c r="AR29" i="24"/>
  <c r="AR30" i="24"/>
  <c r="AR33" i="24"/>
  <c r="AR34" i="24"/>
  <c r="AR35" i="24"/>
  <c r="AR36" i="24"/>
  <c r="AR37" i="24"/>
  <c r="AR38" i="24"/>
  <c r="AR39" i="24"/>
  <c r="AR40" i="24"/>
  <c r="AR41" i="24"/>
  <c r="AR42" i="24"/>
  <c r="AR43" i="24"/>
  <c r="AR44" i="24"/>
  <c r="AR45" i="24"/>
  <c r="AR46" i="24"/>
  <c r="AR47" i="24"/>
  <c r="AR48" i="24"/>
  <c r="AR49" i="24"/>
  <c r="AR50" i="24"/>
  <c r="AR51" i="24"/>
  <c r="AR52" i="24"/>
  <c r="AR53" i="24"/>
  <c r="AR54" i="24"/>
  <c r="AR55" i="24"/>
  <c r="AR56" i="24"/>
  <c r="AR57" i="24"/>
  <c r="AR58" i="24"/>
  <c r="AR59" i="24"/>
  <c r="AR60" i="24"/>
  <c r="AR61" i="24"/>
  <c r="AR62" i="24"/>
  <c r="AR63" i="24"/>
  <c r="AR64" i="24"/>
  <c r="AR65" i="24"/>
  <c r="AR66" i="24"/>
  <c r="AR67" i="24"/>
  <c r="AR68" i="24"/>
  <c r="AR69" i="24"/>
  <c r="AR70" i="24"/>
  <c r="AR71" i="24"/>
  <c r="AR72" i="24"/>
  <c r="AR73" i="24"/>
  <c r="AR74" i="24"/>
  <c r="AR75" i="24"/>
  <c r="AR76" i="24"/>
  <c r="AR77" i="24"/>
  <c r="AR78" i="24"/>
  <c r="AR79" i="24"/>
  <c r="AR80" i="24"/>
  <c r="AR81" i="24"/>
  <c r="AR82" i="24"/>
  <c r="AR83" i="24"/>
  <c r="AR84" i="24"/>
  <c r="AR85" i="24"/>
  <c r="AR86" i="24"/>
  <c r="AR87" i="24"/>
  <c r="AR88" i="24"/>
  <c r="AR89" i="24"/>
  <c r="AR90" i="24"/>
  <c r="AR91" i="24"/>
  <c r="AR92" i="24"/>
  <c r="AR93" i="24"/>
  <c r="AR94" i="24"/>
  <c r="AR95" i="24"/>
  <c r="AR96" i="24"/>
  <c r="AR97" i="24"/>
  <c r="AR98" i="24"/>
  <c r="AR99" i="24"/>
  <c r="AR100" i="24"/>
  <c r="AR101" i="24"/>
  <c r="AR102" i="24"/>
  <c r="AR103" i="24"/>
  <c r="AR104" i="24"/>
  <c r="AR105" i="24"/>
  <c r="AR106" i="24"/>
  <c r="AR107" i="24"/>
  <c r="AR108" i="24"/>
  <c r="AR109" i="24"/>
  <c r="AR110" i="24"/>
  <c r="AR111" i="24"/>
  <c r="AR112" i="24"/>
  <c r="AR113" i="24"/>
  <c r="AY113" i="24"/>
  <c r="AS113" i="24"/>
  <c r="AU113" i="24"/>
  <c r="AV113" i="24"/>
  <c r="AW113" i="24"/>
  <c r="AX113" i="24"/>
  <c r="AY112" i="24"/>
  <c r="AS112" i="24"/>
  <c r="AU112" i="24"/>
  <c r="AV112" i="24"/>
  <c r="AW112" i="24"/>
  <c r="AX112" i="24"/>
  <c r="AY111" i="24"/>
  <c r="AS111" i="24"/>
  <c r="AU111" i="24"/>
  <c r="AV111" i="24"/>
  <c r="AW111" i="24"/>
  <c r="AX111" i="24"/>
  <c r="AY110" i="24"/>
  <c r="AS110" i="24"/>
  <c r="AU110" i="24"/>
  <c r="AV110" i="24"/>
  <c r="AW110" i="24"/>
  <c r="AX110" i="24"/>
  <c r="AY109" i="24"/>
  <c r="AS109" i="24"/>
  <c r="AU109" i="24"/>
  <c r="AV109" i="24"/>
  <c r="AW109" i="24"/>
  <c r="AX109" i="24"/>
  <c r="AY108" i="24"/>
  <c r="AS108" i="24"/>
  <c r="AU108" i="24"/>
  <c r="AV108" i="24"/>
  <c r="AW108" i="24"/>
  <c r="AX108" i="24"/>
  <c r="AY107" i="24"/>
  <c r="AS107" i="24"/>
  <c r="AU107" i="24"/>
  <c r="AV107" i="24"/>
  <c r="AW107" i="24"/>
  <c r="AX107" i="24"/>
  <c r="AY106" i="24"/>
  <c r="AS106" i="24"/>
  <c r="AU106" i="24"/>
  <c r="AV106" i="24"/>
  <c r="AW106" i="24"/>
  <c r="AX106" i="24"/>
  <c r="AY105" i="24"/>
  <c r="AS105" i="24"/>
  <c r="AU105" i="24"/>
  <c r="AV105" i="24"/>
  <c r="AW105" i="24"/>
  <c r="AX105" i="24"/>
  <c r="AY104" i="24"/>
  <c r="AS104" i="24"/>
  <c r="AU104" i="24"/>
  <c r="AV104" i="24"/>
  <c r="AW104" i="24"/>
  <c r="AX104" i="24"/>
  <c r="AY103" i="24"/>
  <c r="AS103" i="24"/>
  <c r="AU103" i="24"/>
  <c r="AV103" i="24"/>
  <c r="AW103" i="24"/>
  <c r="AX103" i="24"/>
  <c r="AY102" i="24"/>
  <c r="AS102" i="24"/>
  <c r="AU102" i="24"/>
  <c r="AV102" i="24"/>
  <c r="AW102" i="24"/>
  <c r="AX102" i="24"/>
  <c r="AY101" i="24"/>
  <c r="AS101" i="24"/>
  <c r="AU101" i="24"/>
  <c r="AV101" i="24"/>
  <c r="AW101" i="24"/>
  <c r="AX101" i="24"/>
  <c r="AY100" i="24"/>
  <c r="AS100" i="24"/>
  <c r="AU100" i="24"/>
  <c r="AV100" i="24"/>
  <c r="AW100" i="24"/>
  <c r="AX100" i="24"/>
  <c r="AY99" i="24"/>
  <c r="AS99" i="24"/>
  <c r="AU99" i="24"/>
  <c r="AV99" i="24"/>
  <c r="AW99" i="24"/>
  <c r="AX99" i="24"/>
  <c r="AY98" i="24"/>
  <c r="AS98" i="24"/>
  <c r="AU98" i="24"/>
  <c r="AV98" i="24"/>
  <c r="AW98" i="24"/>
  <c r="AX98" i="24"/>
  <c r="AY97" i="24"/>
  <c r="AS97" i="24"/>
  <c r="AU97" i="24"/>
  <c r="AV97" i="24"/>
  <c r="AW97" i="24"/>
  <c r="AX97" i="24"/>
  <c r="AY96" i="24"/>
  <c r="AS96" i="24"/>
  <c r="AU96" i="24"/>
  <c r="AV96" i="24"/>
  <c r="AW96" i="24"/>
  <c r="AX96" i="24"/>
  <c r="AY95" i="24"/>
  <c r="AS95" i="24"/>
  <c r="AU95" i="24"/>
  <c r="AV95" i="24"/>
  <c r="AW95" i="24"/>
  <c r="AX95" i="24"/>
  <c r="AY94" i="24"/>
  <c r="AS94" i="24"/>
  <c r="AU94" i="24"/>
  <c r="AV94" i="24"/>
  <c r="AW94" i="24"/>
  <c r="AX94" i="24"/>
  <c r="AY93" i="24"/>
  <c r="AS93" i="24"/>
  <c r="AU93" i="24"/>
  <c r="AV93" i="24"/>
  <c r="AW93" i="24"/>
  <c r="AX93" i="24"/>
  <c r="AY92" i="24"/>
  <c r="AS92" i="24"/>
  <c r="AU92" i="24"/>
  <c r="AV92" i="24"/>
  <c r="AW92" i="24"/>
  <c r="AX92" i="24"/>
  <c r="AY91" i="24"/>
  <c r="AS91" i="24"/>
  <c r="AU91" i="24"/>
  <c r="AV91" i="24"/>
  <c r="AW91" i="24"/>
  <c r="AX91" i="24"/>
  <c r="AY90" i="24"/>
  <c r="AS90" i="24"/>
  <c r="AU90" i="24"/>
  <c r="AV90" i="24"/>
  <c r="AW90" i="24"/>
  <c r="AX90" i="24"/>
  <c r="AY89" i="24"/>
  <c r="AS89" i="24"/>
  <c r="AU89" i="24"/>
  <c r="AV89" i="24"/>
  <c r="AW89" i="24"/>
  <c r="AX89" i="24"/>
  <c r="AY88" i="24"/>
  <c r="AS88" i="24"/>
  <c r="AU88" i="24"/>
  <c r="AV88" i="24"/>
  <c r="AW88" i="24"/>
  <c r="AX88" i="24"/>
  <c r="AY87" i="24"/>
  <c r="AS87" i="24"/>
  <c r="AU87" i="24"/>
  <c r="AV87" i="24"/>
  <c r="AW87" i="24"/>
  <c r="AX87" i="24"/>
  <c r="AY86" i="24"/>
  <c r="AS86" i="24"/>
  <c r="AU86" i="24"/>
  <c r="AV86" i="24"/>
  <c r="AW86" i="24"/>
  <c r="AX86" i="24"/>
  <c r="AY85" i="24"/>
  <c r="AS85" i="24"/>
  <c r="AU85" i="24"/>
  <c r="AV85" i="24"/>
  <c r="AW85" i="24"/>
  <c r="AX85" i="24"/>
  <c r="AY84" i="24"/>
  <c r="AS84" i="24"/>
  <c r="AU84" i="24"/>
  <c r="AV84" i="24"/>
  <c r="AW84" i="24"/>
  <c r="AX84" i="24"/>
  <c r="AY83" i="24"/>
  <c r="AS83" i="24"/>
  <c r="AU83" i="24"/>
  <c r="AV83" i="24"/>
  <c r="AW83" i="24"/>
  <c r="AX83" i="24"/>
  <c r="AY82" i="24"/>
  <c r="AS82" i="24"/>
  <c r="AU82" i="24"/>
  <c r="AV82" i="24"/>
  <c r="AW82" i="24"/>
  <c r="AX82" i="24"/>
  <c r="AY81" i="24"/>
  <c r="AS81" i="24"/>
  <c r="AU81" i="24"/>
  <c r="AV81" i="24"/>
  <c r="AW81" i="24"/>
  <c r="AX81" i="24"/>
  <c r="AY80" i="24"/>
  <c r="AS80" i="24"/>
  <c r="AU80" i="24"/>
  <c r="AV80" i="24"/>
  <c r="AW80" i="24"/>
  <c r="AX80" i="24"/>
  <c r="AY79" i="24"/>
  <c r="AS79" i="24"/>
  <c r="AU79" i="24"/>
  <c r="AV79" i="24"/>
  <c r="AW79" i="24"/>
  <c r="AX79" i="24"/>
  <c r="AY78" i="24"/>
  <c r="AS78" i="24"/>
  <c r="AU78" i="24"/>
  <c r="AV78" i="24"/>
  <c r="AW78" i="24"/>
  <c r="AX78" i="24"/>
  <c r="AY77" i="24"/>
  <c r="AS77" i="24"/>
  <c r="AU77" i="24"/>
  <c r="AV77" i="24"/>
  <c r="AW77" i="24"/>
  <c r="AX77" i="24"/>
  <c r="AY76" i="24"/>
  <c r="AS76" i="24"/>
  <c r="AU76" i="24"/>
  <c r="AV76" i="24"/>
  <c r="AW76" i="24"/>
  <c r="AX76" i="24"/>
  <c r="AY75" i="24"/>
  <c r="AS75" i="24"/>
  <c r="AU75" i="24"/>
  <c r="AV75" i="24"/>
  <c r="AW75" i="24"/>
  <c r="AX75" i="24"/>
  <c r="AY74" i="24"/>
  <c r="AS74" i="24"/>
  <c r="AU74" i="24"/>
  <c r="AV74" i="24"/>
  <c r="AW74" i="24"/>
  <c r="AX74" i="24"/>
  <c r="AY73" i="24"/>
  <c r="AS73" i="24"/>
  <c r="AU73" i="24"/>
  <c r="AV73" i="24"/>
  <c r="AW73" i="24"/>
  <c r="AX73" i="24"/>
  <c r="AY72" i="24"/>
  <c r="AS72" i="24"/>
  <c r="AU72" i="24"/>
  <c r="AV72" i="24"/>
  <c r="AW72" i="24"/>
  <c r="AX72" i="24"/>
  <c r="AY71" i="24"/>
  <c r="AS71" i="24"/>
  <c r="AU71" i="24"/>
  <c r="AV71" i="24"/>
  <c r="AW71" i="24"/>
  <c r="AX71" i="24"/>
  <c r="AY70" i="24"/>
  <c r="AS70" i="24"/>
  <c r="AU70" i="24"/>
  <c r="AV70" i="24"/>
  <c r="AW70" i="24"/>
  <c r="AX70" i="24"/>
  <c r="AY69" i="24"/>
  <c r="AS69" i="24"/>
  <c r="AU69" i="24"/>
  <c r="AV69" i="24"/>
  <c r="AW69" i="24"/>
  <c r="AX69" i="24"/>
  <c r="AY68" i="24"/>
  <c r="AS68" i="24"/>
  <c r="AU68" i="24"/>
  <c r="AV68" i="24"/>
  <c r="AW68" i="24"/>
  <c r="AX68" i="24"/>
  <c r="AY67" i="24"/>
  <c r="AS67" i="24"/>
  <c r="AU67" i="24"/>
  <c r="AV67" i="24"/>
  <c r="AW67" i="24"/>
  <c r="AX67" i="24"/>
  <c r="AY66" i="24"/>
  <c r="AS66" i="24"/>
  <c r="AU66" i="24"/>
  <c r="AV66" i="24"/>
  <c r="AW66" i="24"/>
  <c r="AX66" i="24"/>
  <c r="AY65" i="24"/>
  <c r="AS65" i="24"/>
  <c r="AU65" i="24"/>
  <c r="AV65" i="24"/>
  <c r="AW65" i="24"/>
  <c r="AX65" i="24"/>
  <c r="AY64" i="24"/>
  <c r="AS64" i="24"/>
  <c r="AU64" i="24"/>
  <c r="AV64" i="24"/>
  <c r="AW64" i="24"/>
  <c r="AX64" i="24"/>
  <c r="AY63" i="24"/>
  <c r="AS63" i="24"/>
  <c r="AU63" i="24"/>
  <c r="AV63" i="24"/>
  <c r="AW63" i="24"/>
  <c r="AX63" i="24"/>
  <c r="AY62" i="24"/>
  <c r="AS62" i="24"/>
  <c r="AU62" i="24"/>
  <c r="AV62" i="24"/>
  <c r="AW62" i="24"/>
  <c r="AX62" i="24"/>
  <c r="AY61" i="24"/>
  <c r="AS61" i="24"/>
  <c r="AU61" i="24"/>
  <c r="AV61" i="24"/>
  <c r="AW61" i="24"/>
  <c r="AX61" i="24"/>
  <c r="AY60" i="24"/>
  <c r="AS60" i="24"/>
  <c r="AU60" i="24"/>
  <c r="AV60" i="24"/>
  <c r="AW60" i="24"/>
  <c r="AX60" i="24"/>
  <c r="AY59" i="24"/>
  <c r="AS59" i="24"/>
  <c r="AU59" i="24"/>
  <c r="AV59" i="24"/>
  <c r="AW59" i="24"/>
  <c r="AX59" i="24"/>
  <c r="AY58" i="24"/>
  <c r="AS58" i="24"/>
  <c r="AU58" i="24"/>
  <c r="AV58" i="24"/>
  <c r="AW58" i="24"/>
  <c r="AX58" i="24"/>
  <c r="AY57" i="24"/>
  <c r="AS57" i="24"/>
  <c r="AU57" i="24"/>
  <c r="AV57" i="24"/>
  <c r="AW57" i="24"/>
  <c r="AX57" i="24"/>
  <c r="AY56" i="24"/>
  <c r="AS56" i="24"/>
  <c r="AU56" i="24"/>
  <c r="AV56" i="24"/>
  <c r="AW56" i="24"/>
  <c r="AX56" i="24"/>
  <c r="AY55" i="24"/>
  <c r="AS55" i="24"/>
  <c r="AU55" i="24"/>
  <c r="AV55" i="24"/>
  <c r="AW55" i="24"/>
  <c r="AX55" i="24"/>
  <c r="AY54" i="24"/>
  <c r="AS54" i="24"/>
  <c r="AU54" i="24"/>
  <c r="AV54" i="24"/>
  <c r="AW54" i="24"/>
  <c r="AX54" i="24"/>
  <c r="AY53" i="24"/>
  <c r="AS53" i="24"/>
  <c r="AU53" i="24"/>
  <c r="AV53" i="24"/>
  <c r="AW53" i="24"/>
  <c r="AX53" i="24"/>
  <c r="AY52" i="24"/>
  <c r="AS52" i="24"/>
  <c r="AU52" i="24"/>
  <c r="AV52" i="24"/>
  <c r="AW52" i="24"/>
  <c r="AX52" i="24"/>
  <c r="AY51" i="24"/>
  <c r="AS51" i="24"/>
  <c r="AU51" i="24"/>
  <c r="AV51" i="24"/>
  <c r="AW51" i="24"/>
  <c r="AX51" i="24"/>
  <c r="AY50" i="24"/>
  <c r="AS50" i="24"/>
  <c r="AU50" i="24"/>
  <c r="AV50" i="24"/>
  <c r="AW50" i="24"/>
  <c r="AX50" i="24"/>
  <c r="AY49" i="24"/>
  <c r="AS49" i="24"/>
  <c r="AU49" i="24"/>
  <c r="AV49" i="24"/>
  <c r="AW49" i="24"/>
  <c r="AX49" i="24"/>
  <c r="AY48" i="24"/>
  <c r="AS48" i="24"/>
  <c r="AU48" i="24"/>
  <c r="AV48" i="24"/>
  <c r="AW48" i="24"/>
  <c r="AX48" i="24"/>
  <c r="AY47" i="24"/>
  <c r="AS47" i="24"/>
  <c r="AU47" i="24"/>
  <c r="AV47" i="24"/>
  <c r="AW47" i="24"/>
  <c r="AX47" i="24"/>
  <c r="AY46" i="24"/>
  <c r="AS46" i="24"/>
  <c r="AU46" i="24"/>
  <c r="AV46" i="24"/>
  <c r="AW46" i="24"/>
  <c r="AX46" i="24"/>
  <c r="AY45" i="24"/>
  <c r="AS45" i="24"/>
  <c r="AU45" i="24"/>
  <c r="AV45" i="24"/>
  <c r="AW45" i="24"/>
  <c r="AX45" i="24"/>
  <c r="AY44" i="24"/>
  <c r="AS44" i="24"/>
  <c r="AU44" i="24"/>
  <c r="AV44" i="24"/>
  <c r="AW44" i="24"/>
  <c r="AX44" i="24"/>
  <c r="AY43" i="24"/>
  <c r="AS43" i="24"/>
  <c r="AU43" i="24"/>
  <c r="AV43" i="24"/>
  <c r="AW43" i="24"/>
  <c r="AX43" i="24"/>
  <c r="AY42" i="24"/>
  <c r="AS42" i="24"/>
  <c r="AU42" i="24"/>
  <c r="AV42" i="24"/>
  <c r="AW42" i="24"/>
  <c r="AX42" i="24"/>
  <c r="AY41" i="24"/>
  <c r="AS41" i="24"/>
  <c r="AU41" i="24"/>
  <c r="AV41" i="24"/>
  <c r="AW41" i="24"/>
  <c r="AX41" i="24"/>
  <c r="AY40" i="24"/>
  <c r="AS40" i="24"/>
  <c r="AU40" i="24"/>
  <c r="AV40" i="24"/>
  <c r="AW40" i="24"/>
  <c r="AX40" i="24"/>
  <c r="AY39" i="24"/>
  <c r="AS39" i="24"/>
  <c r="AU39" i="24"/>
  <c r="AV39" i="24"/>
  <c r="AW39" i="24"/>
  <c r="AX39" i="24"/>
  <c r="AY38" i="24"/>
  <c r="AS38" i="24"/>
  <c r="AU38" i="24"/>
  <c r="AV38" i="24"/>
  <c r="AW38" i="24"/>
  <c r="AX38" i="24"/>
  <c r="AY37" i="24"/>
  <c r="AS37" i="24"/>
  <c r="AU37" i="24"/>
  <c r="AV37" i="24"/>
  <c r="AW37" i="24"/>
  <c r="AX37" i="24"/>
  <c r="AY36" i="24"/>
  <c r="AS36" i="24"/>
  <c r="AU36" i="24"/>
  <c r="AV36" i="24"/>
  <c r="AW36" i="24"/>
  <c r="AX36" i="24"/>
  <c r="U36" i="24"/>
  <c r="AY35" i="24"/>
  <c r="AS35" i="24"/>
  <c r="AU35" i="24"/>
  <c r="AV35" i="24"/>
  <c r="AW35" i="24"/>
  <c r="AX35" i="24"/>
  <c r="AY34" i="24"/>
  <c r="AS34" i="24"/>
  <c r="AU34" i="24"/>
  <c r="AV34" i="24"/>
  <c r="AW34" i="24"/>
  <c r="AX34" i="24"/>
  <c r="AY33" i="24"/>
  <c r="AS33" i="24"/>
  <c r="AU33" i="24"/>
  <c r="AV33" i="24"/>
  <c r="AW33" i="24"/>
  <c r="AX33" i="24"/>
  <c r="S16" i="24"/>
  <c r="V16" i="24"/>
  <c r="I33" i="24"/>
  <c r="S15" i="24"/>
  <c r="T15" i="24"/>
  <c r="V15" i="24"/>
  <c r="I32" i="24"/>
  <c r="W27" i="24"/>
  <c r="W23" i="24"/>
  <c r="W31" i="24"/>
  <c r="T14" i="24"/>
  <c r="V14" i="24"/>
  <c r="I31" i="24"/>
  <c r="AY30" i="24"/>
  <c r="AS30" i="24"/>
  <c r="AU30" i="24"/>
  <c r="AV30" i="24"/>
  <c r="AW30" i="24"/>
  <c r="AX30" i="24"/>
  <c r="S10" i="24"/>
  <c r="T10" i="24"/>
  <c r="AY29" i="24"/>
  <c r="AS29" i="24"/>
  <c r="AU29" i="24"/>
  <c r="AV29" i="24"/>
  <c r="AW29" i="24"/>
  <c r="AX29" i="24"/>
  <c r="W24" i="24"/>
  <c r="W29" i="24"/>
  <c r="I23" i="24"/>
  <c r="AS4" i="24"/>
  <c r="AT4" i="24"/>
  <c r="AS5" i="24"/>
  <c r="AU5" i="24"/>
  <c r="AW5" i="24"/>
  <c r="AX5" i="24"/>
  <c r="AY5" i="24"/>
  <c r="AV5" i="24"/>
  <c r="AS6" i="24"/>
  <c r="AU6" i="24"/>
  <c r="AW6" i="24"/>
  <c r="AX6" i="24"/>
  <c r="AY6" i="24"/>
  <c r="AV6" i="24"/>
  <c r="AS7" i="24"/>
  <c r="AU7" i="24"/>
  <c r="AW7" i="24"/>
  <c r="AX7" i="24"/>
  <c r="AY7" i="24"/>
  <c r="AV7" i="24"/>
  <c r="AS8" i="24"/>
  <c r="AU8" i="24"/>
  <c r="AW8" i="24"/>
  <c r="AX8" i="24"/>
  <c r="AY8" i="24"/>
  <c r="AV8" i="24"/>
  <c r="AS9" i="24"/>
  <c r="AU9" i="24"/>
  <c r="AW9" i="24"/>
  <c r="AX9" i="24"/>
  <c r="AY9" i="24"/>
  <c r="AV9" i="24"/>
  <c r="AS10" i="24"/>
  <c r="AU10" i="24"/>
  <c r="AW10" i="24"/>
  <c r="AX10" i="24"/>
  <c r="AY10" i="24"/>
  <c r="AV10" i="24"/>
  <c r="AS11" i="24"/>
  <c r="AU11" i="24"/>
  <c r="AW11" i="24"/>
  <c r="AX11" i="24"/>
  <c r="AY11" i="24"/>
  <c r="AV11" i="24"/>
  <c r="AS12" i="24"/>
  <c r="AU12" i="24"/>
  <c r="AW12" i="24"/>
  <c r="AX12" i="24"/>
  <c r="AY12" i="24"/>
  <c r="AV12" i="24"/>
  <c r="AS13" i="24"/>
  <c r="AU13" i="24"/>
  <c r="AW13" i="24"/>
  <c r="AX13" i="24"/>
  <c r="AY13" i="24"/>
  <c r="AV13" i="24"/>
  <c r="AS14" i="24"/>
  <c r="AU14" i="24"/>
  <c r="AW14" i="24"/>
  <c r="AX14" i="24"/>
  <c r="AY14" i="24"/>
  <c r="AV14" i="24"/>
  <c r="AS15" i="24"/>
  <c r="AU15" i="24"/>
  <c r="AW15" i="24"/>
  <c r="AX15" i="24"/>
  <c r="AY15" i="24"/>
  <c r="AV15" i="24"/>
  <c r="AS16" i="24"/>
  <c r="AU16" i="24"/>
  <c r="AW16" i="24"/>
  <c r="AX16" i="24"/>
  <c r="AY16" i="24"/>
  <c r="AV16" i="24"/>
  <c r="AS17" i="24"/>
  <c r="AU17" i="24"/>
  <c r="AW17" i="24"/>
  <c r="AX17" i="24"/>
  <c r="AY17" i="24"/>
  <c r="AV17" i="24"/>
  <c r="AS18" i="24"/>
  <c r="AU18" i="24"/>
  <c r="AW18" i="24"/>
  <c r="AX18" i="24"/>
  <c r="AY18" i="24"/>
  <c r="AV18" i="24"/>
  <c r="AS19" i="24"/>
  <c r="AU19" i="24"/>
  <c r="AV19" i="24"/>
  <c r="AW19" i="24"/>
  <c r="AX19" i="24"/>
  <c r="AY19" i="24"/>
  <c r="AY20" i="24"/>
  <c r="AY21" i="24"/>
  <c r="AY22" i="24"/>
  <c r="AY23" i="24"/>
  <c r="AY24" i="24"/>
  <c r="AY25" i="24"/>
  <c r="AY26" i="24"/>
  <c r="AY27" i="24"/>
  <c r="AY28" i="24"/>
  <c r="AZ5" i="24"/>
  <c r="R19" i="24"/>
  <c r="AW4" i="24"/>
  <c r="AX4" i="24"/>
  <c r="AY4" i="24"/>
  <c r="S19" i="24"/>
  <c r="T19" i="24"/>
  <c r="V19" i="24"/>
  <c r="I24" i="24"/>
  <c r="G29" i="24"/>
  <c r="AS28" i="24"/>
  <c r="AU28" i="24"/>
  <c r="AV28" i="24"/>
  <c r="AW28" i="24"/>
  <c r="AX28" i="24"/>
  <c r="AS27" i="24"/>
  <c r="AU27" i="24"/>
  <c r="AV27" i="24"/>
  <c r="AW27" i="24"/>
  <c r="AX27" i="24"/>
  <c r="I21" i="24"/>
  <c r="G27" i="24"/>
  <c r="AS26" i="24"/>
  <c r="AU26" i="24"/>
  <c r="AV26" i="24"/>
  <c r="AW26" i="24"/>
  <c r="AX26" i="24"/>
  <c r="W26" i="24"/>
  <c r="AS25" i="24"/>
  <c r="AU25" i="24"/>
  <c r="AV25" i="24"/>
  <c r="AW25" i="24"/>
  <c r="AX25" i="24"/>
  <c r="S25" i="24"/>
  <c r="I25" i="24"/>
  <c r="AS24" i="24"/>
  <c r="AU24" i="24"/>
  <c r="AV24" i="24"/>
  <c r="AW24" i="24"/>
  <c r="AX24" i="24"/>
  <c r="AS23" i="24"/>
  <c r="AU23" i="24"/>
  <c r="AV23" i="24"/>
  <c r="AW23" i="24"/>
  <c r="AX23" i="24"/>
  <c r="S23" i="24"/>
  <c r="AS22" i="24"/>
  <c r="AU22" i="24"/>
  <c r="AV22" i="24"/>
  <c r="AW22" i="24"/>
  <c r="AX22" i="24"/>
  <c r="AS21" i="24"/>
  <c r="AU21" i="24"/>
  <c r="AV21" i="24"/>
  <c r="AW21" i="24"/>
  <c r="AX21" i="24"/>
  <c r="AS20" i="24"/>
  <c r="AU20" i="24"/>
  <c r="AV20" i="24"/>
  <c r="AW20" i="24"/>
  <c r="AX20" i="24"/>
  <c r="W16" i="24"/>
  <c r="W14" i="24"/>
  <c r="BA5" i="24"/>
  <c r="AR5" i="23"/>
  <c r="AR6" i="23"/>
  <c r="AR7" i="23"/>
  <c r="AR8" i="23"/>
  <c r="AR9" i="23"/>
  <c r="AR10" i="23"/>
  <c r="AR11" i="23"/>
  <c r="AR12" i="23"/>
  <c r="AR13" i="23"/>
  <c r="AR14" i="23"/>
  <c r="AR15" i="23"/>
  <c r="AR16" i="23"/>
  <c r="AR17" i="23"/>
  <c r="AR18" i="23"/>
  <c r="AR19" i="23"/>
  <c r="AR20" i="23"/>
  <c r="AR21" i="23"/>
  <c r="AR22" i="23"/>
  <c r="AR23" i="23"/>
  <c r="AR24" i="23"/>
  <c r="AR25" i="23"/>
  <c r="AR26" i="23"/>
  <c r="AR27" i="23"/>
  <c r="AR28" i="23"/>
  <c r="AR29" i="23"/>
  <c r="AR30" i="23"/>
  <c r="AR33" i="23"/>
  <c r="AR34" i="23"/>
  <c r="AR35" i="23"/>
  <c r="AR36" i="23"/>
  <c r="AR37" i="23"/>
  <c r="AR38" i="23"/>
  <c r="AR39" i="23"/>
  <c r="AR40" i="23"/>
  <c r="AR41" i="23"/>
  <c r="AR42" i="23"/>
  <c r="AR43" i="23"/>
  <c r="AR44" i="23"/>
  <c r="AR45" i="23"/>
  <c r="AR46" i="23"/>
  <c r="AR47" i="23"/>
  <c r="AR48" i="23"/>
  <c r="AR49" i="23"/>
  <c r="AR50" i="23"/>
  <c r="AR51" i="23"/>
  <c r="AR52" i="23"/>
  <c r="AR53" i="23"/>
  <c r="AR54" i="23"/>
  <c r="AR55" i="23"/>
  <c r="AR56" i="23"/>
  <c r="AR57" i="23"/>
  <c r="AR58" i="23"/>
  <c r="AR59" i="23"/>
  <c r="AR60" i="23"/>
  <c r="AR61" i="23"/>
  <c r="AR62" i="23"/>
  <c r="AR63" i="23"/>
  <c r="AR64" i="23"/>
  <c r="AR65" i="23"/>
  <c r="AR66" i="23"/>
  <c r="AR67" i="23"/>
  <c r="AR68" i="23"/>
  <c r="AR69" i="23"/>
  <c r="AR70" i="23"/>
  <c r="AR71" i="23"/>
  <c r="AR72" i="23"/>
  <c r="AR73" i="23"/>
  <c r="AR74" i="23"/>
  <c r="AR75" i="23"/>
  <c r="AR76" i="23"/>
  <c r="AR77" i="23"/>
  <c r="AR78" i="23"/>
  <c r="AR79" i="23"/>
  <c r="AR80" i="23"/>
  <c r="AR81" i="23"/>
  <c r="AR82" i="23"/>
  <c r="AR83" i="23"/>
  <c r="AR84" i="23"/>
  <c r="AR85" i="23"/>
  <c r="AR86" i="23"/>
  <c r="AR87" i="23"/>
  <c r="AR88" i="23"/>
  <c r="AR89" i="23"/>
  <c r="AR90" i="23"/>
  <c r="AR91" i="23"/>
  <c r="AR92" i="23"/>
  <c r="AR93" i="23"/>
  <c r="AR94" i="23"/>
  <c r="AR95" i="23"/>
  <c r="AR96" i="23"/>
  <c r="AR97" i="23"/>
  <c r="AR98" i="23"/>
  <c r="AR99" i="23"/>
  <c r="AR100" i="23"/>
  <c r="AR101" i="23"/>
  <c r="AR102" i="23"/>
  <c r="AR103" i="23"/>
  <c r="AR104" i="23"/>
  <c r="AR105" i="23"/>
  <c r="AR106" i="23"/>
  <c r="AR107" i="23"/>
  <c r="AR108" i="23"/>
  <c r="AR109" i="23"/>
  <c r="AR110" i="23"/>
  <c r="AR111" i="23"/>
  <c r="AR112" i="23"/>
  <c r="AR113" i="23"/>
  <c r="AY113" i="23"/>
  <c r="AS113" i="23"/>
  <c r="AU113" i="23"/>
  <c r="AV113" i="23"/>
  <c r="AW113" i="23"/>
  <c r="AX113" i="23"/>
  <c r="AY112" i="23"/>
  <c r="AS112" i="23"/>
  <c r="AU112" i="23"/>
  <c r="AV112" i="23"/>
  <c r="AW112" i="23"/>
  <c r="AX112" i="23"/>
  <c r="AY111" i="23"/>
  <c r="AS111" i="23"/>
  <c r="AU111" i="23"/>
  <c r="AV111" i="23"/>
  <c r="AW111" i="23"/>
  <c r="AX111" i="23"/>
  <c r="AY110" i="23"/>
  <c r="AS110" i="23"/>
  <c r="AU110" i="23"/>
  <c r="AV110" i="23"/>
  <c r="AW110" i="23"/>
  <c r="AX110" i="23"/>
  <c r="AY109" i="23"/>
  <c r="AS109" i="23"/>
  <c r="AU109" i="23"/>
  <c r="AV109" i="23"/>
  <c r="AW109" i="23"/>
  <c r="AX109" i="23"/>
  <c r="AY108" i="23"/>
  <c r="AS108" i="23"/>
  <c r="AU108" i="23"/>
  <c r="AV108" i="23"/>
  <c r="AW108" i="23"/>
  <c r="AX108" i="23"/>
  <c r="AY107" i="23"/>
  <c r="AS107" i="23"/>
  <c r="AU107" i="23"/>
  <c r="AV107" i="23"/>
  <c r="AW107" i="23"/>
  <c r="AX107" i="23"/>
  <c r="AY106" i="23"/>
  <c r="AS106" i="23"/>
  <c r="AU106" i="23"/>
  <c r="AV106" i="23"/>
  <c r="AW106" i="23"/>
  <c r="AX106" i="23"/>
  <c r="AY105" i="23"/>
  <c r="AS105" i="23"/>
  <c r="AU105" i="23"/>
  <c r="AV105" i="23"/>
  <c r="AW105" i="23"/>
  <c r="AX105" i="23"/>
  <c r="AY104" i="23"/>
  <c r="AS104" i="23"/>
  <c r="AU104" i="23"/>
  <c r="AV104" i="23"/>
  <c r="AW104" i="23"/>
  <c r="AX104" i="23"/>
  <c r="AY103" i="23"/>
  <c r="AS103" i="23"/>
  <c r="AU103" i="23"/>
  <c r="AV103" i="23"/>
  <c r="AW103" i="23"/>
  <c r="AX103" i="23"/>
  <c r="AY102" i="23"/>
  <c r="AS102" i="23"/>
  <c r="AU102" i="23"/>
  <c r="AV102" i="23"/>
  <c r="AW102" i="23"/>
  <c r="AX102" i="23"/>
  <c r="AY101" i="23"/>
  <c r="AS101" i="23"/>
  <c r="AU101" i="23"/>
  <c r="AV101" i="23"/>
  <c r="AW101" i="23"/>
  <c r="AX101" i="23"/>
  <c r="AY100" i="23"/>
  <c r="AS100" i="23"/>
  <c r="AU100" i="23"/>
  <c r="AV100" i="23"/>
  <c r="AW100" i="23"/>
  <c r="AX100" i="23"/>
  <c r="AY99" i="23"/>
  <c r="AS99" i="23"/>
  <c r="AU99" i="23"/>
  <c r="AV99" i="23"/>
  <c r="AW99" i="23"/>
  <c r="AX99" i="23"/>
  <c r="AY98" i="23"/>
  <c r="AS98" i="23"/>
  <c r="AU98" i="23"/>
  <c r="AV98" i="23"/>
  <c r="AW98" i="23"/>
  <c r="AX98" i="23"/>
  <c r="AY97" i="23"/>
  <c r="AS97" i="23"/>
  <c r="AU97" i="23"/>
  <c r="AV97" i="23"/>
  <c r="AW97" i="23"/>
  <c r="AX97" i="23"/>
  <c r="AY96" i="23"/>
  <c r="AS96" i="23"/>
  <c r="AU96" i="23"/>
  <c r="AV96" i="23"/>
  <c r="AW96" i="23"/>
  <c r="AX96" i="23"/>
  <c r="AY95" i="23"/>
  <c r="AS95" i="23"/>
  <c r="AU95" i="23"/>
  <c r="AV95" i="23"/>
  <c r="AW95" i="23"/>
  <c r="AX95" i="23"/>
  <c r="AY94" i="23"/>
  <c r="AS94" i="23"/>
  <c r="AU94" i="23"/>
  <c r="AV94" i="23"/>
  <c r="AW94" i="23"/>
  <c r="AX94" i="23"/>
  <c r="AY93" i="23"/>
  <c r="AS93" i="23"/>
  <c r="AU93" i="23"/>
  <c r="AV93" i="23"/>
  <c r="AW93" i="23"/>
  <c r="AX93" i="23"/>
  <c r="AY92" i="23"/>
  <c r="AS92" i="23"/>
  <c r="AU92" i="23"/>
  <c r="AV92" i="23"/>
  <c r="AW92" i="23"/>
  <c r="AX92" i="23"/>
  <c r="AY91" i="23"/>
  <c r="AS91" i="23"/>
  <c r="AU91" i="23"/>
  <c r="AV91" i="23"/>
  <c r="AW91" i="23"/>
  <c r="AX91" i="23"/>
  <c r="AY90" i="23"/>
  <c r="AS90" i="23"/>
  <c r="AU90" i="23"/>
  <c r="AV90" i="23"/>
  <c r="AW90" i="23"/>
  <c r="AX90" i="23"/>
  <c r="AY89" i="23"/>
  <c r="AS89" i="23"/>
  <c r="AU89" i="23"/>
  <c r="AV89" i="23"/>
  <c r="AW89" i="23"/>
  <c r="AX89" i="23"/>
  <c r="AY88" i="23"/>
  <c r="AS88" i="23"/>
  <c r="AU88" i="23"/>
  <c r="AV88" i="23"/>
  <c r="AW88" i="23"/>
  <c r="AX88" i="23"/>
  <c r="AY87" i="23"/>
  <c r="AS87" i="23"/>
  <c r="AU87" i="23"/>
  <c r="AV87" i="23"/>
  <c r="AW87" i="23"/>
  <c r="AX87" i="23"/>
  <c r="AY86" i="23"/>
  <c r="AS86" i="23"/>
  <c r="AU86" i="23"/>
  <c r="AV86" i="23"/>
  <c r="AW86" i="23"/>
  <c r="AX86" i="23"/>
  <c r="AY85" i="23"/>
  <c r="AS85" i="23"/>
  <c r="AU85" i="23"/>
  <c r="AV85" i="23"/>
  <c r="AW85" i="23"/>
  <c r="AX85" i="23"/>
  <c r="AY84" i="23"/>
  <c r="AS84" i="23"/>
  <c r="AU84" i="23"/>
  <c r="AV84" i="23"/>
  <c r="AW84" i="23"/>
  <c r="AX84" i="23"/>
  <c r="AY83" i="23"/>
  <c r="AS83" i="23"/>
  <c r="AU83" i="23"/>
  <c r="AV83" i="23"/>
  <c r="AW83" i="23"/>
  <c r="AX83" i="23"/>
  <c r="AY82" i="23"/>
  <c r="AS82" i="23"/>
  <c r="AU82" i="23"/>
  <c r="AV82" i="23"/>
  <c r="AW82" i="23"/>
  <c r="AX82" i="23"/>
  <c r="AY81" i="23"/>
  <c r="AS81" i="23"/>
  <c r="AU81" i="23"/>
  <c r="AV81" i="23"/>
  <c r="AW81" i="23"/>
  <c r="AX81" i="23"/>
  <c r="AY80" i="23"/>
  <c r="AS80" i="23"/>
  <c r="AU80" i="23"/>
  <c r="AV80" i="23"/>
  <c r="AW80" i="23"/>
  <c r="AX80" i="23"/>
  <c r="AY79" i="23"/>
  <c r="AS79" i="23"/>
  <c r="AU79" i="23"/>
  <c r="AV79" i="23"/>
  <c r="AW79" i="23"/>
  <c r="AX79" i="23"/>
  <c r="AY78" i="23"/>
  <c r="AS78" i="23"/>
  <c r="AU78" i="23"/>
  <c r="AV78" i="23"/>
  <c r="AW78" i="23"/>
  <c r="AX78" i="23"/>
  <c r="AY77" i="23"/>
  <c r="AS77" i="23"/>
  <c r="AU77" i="23"/>
  <c r="AV77" i="23"/>
  <c r="AW77" i="23"/>
  <c r="AX77" i="23"/>
  <c r="AY76" i="23"/>
  <c r="AS76" i="23"/>
  <c r="AU76" i="23"/>
  <c r="AV76" i="23"/>
  <c r="AW76" i="23"/>
  <c r="AX76" i="23"/>
  <c r="AY75" i="23"/>
  <c r="AS75" i="23"/>
  <c r="AU75" i="23"/>
  <c r="AV75" i="23"/>
  <c r="AW75" i="23"/>
  <c r="AX75" i="23"/>
  <c r="AY74" i="23"/>
  <c r="AS74" i="23"/>
  <c r="AU74" i="23"/>
  <c r="AV74" i="23"/>
  <c r="AW74" i="23"/>
  <c r="AX74" i="23"/>
  <c r="AY73" i="23"/>
  <c r="AS73" i="23"/>
  <c r="AU73" i="23"/>
  <c r="AV73" i="23"/>
  <c r="AW73" i="23"/>
  <c r="AX73" i="23"/>
  <c r="AY72" i="23"/>
  <c r="AS72" i="23"/>
  <c r="AU72" i="23"/>
  <c r="AV72" i="23"/>
  <c r="AW72" i="23"/>
  <c r="AX72" i="23"/>
  <c r="AY71" i="23"/>
  <c r="AS71" i="23"/>
  <c r="AU71" i="23"/>
  <c r="AV71" i="23"/>
  <c r="AW71" i="23"/>
  <c r="AX71" i="23"/>
  <c r="AY70" i="23"/>
  <c r="AS70" i="23"/>
  <c r="AU70" i="23"/>
  <c r="AV70" i="23"/>
  <c r="AW70" i="23"/>
  <c r="AX70" i="23"/>
  <c r="AY69" i="23"/>
  <c r="AS69" i="23"/>
  <c r="AU69" i="23"/>
  <c r="AV69" i="23"/>
  <c r="AW69" i="23"/>
  <c r="AX69" i="23"/>
  <c r="AY68" i="23"/>
  <c r="AS68" i="23"/>
  <c r="AU68" i="23"/>
  <c r="AV68" i="23"/>
  <c r="AW68" i="23"/>
  <c r="AX68" i="23"/>
  <c r="AY67" i="23"/>
  <c r="AS67" i="23"/>
  <c r="AU67" i="23"/>
  <c r="AV67" i="23"/>
  <c r="AW67" i="23"/>
  <c r="AX67" i="23"/>
  <c r="AY66" i="23"/>
  <c r="AS66" i="23"/>
  <c r="AU66" i="23"/>
  <c r="AV66" i="23"/>
  <c r="AW66" i="23"/>
  <c r="AX66" i="23"/>
  <c r="AY65" i="23"/>
  <c r="AS65" i="23"/>
  <c r="AU65" i="23"/>
  <c r="AV65" i="23"/>
  <c r="AW65" i="23"/>
  <c r="AX65" i="23"/>
  <c r="AY64" i="23"/>
  <c r="AS64" i="23"/>
  <c r="AU64" i="23"/>
  <c r="AV64" i="23"/>
  <c r="AW64" i="23"/>
  <c r="AX64" i="23"/>
  <c r="AY63" i="23"/>
  <c r="AS63" i="23"/>
  <c r="AU63" i="23"/>
  <c r="AV63" i="23"/>
  <c r="AW63" i="23"/>
  <c r="AX63" i="23"/>
  <c r="AY62" i="23"/>
  <c r="AS62" i="23"/>
  <c r="AU62" i="23"/>
  <c r="AV62" i="23"/>
  <c r="AW62" i="23"/>
  <c r="AX62" i="23"/>
  <c r="AY61" i="23"/>
  <c r="AS61" i="23"/>
  <c r="AU61" i="23"/>
  <c r="AV61" i="23"/>
  <c r="AW61" i="23"/>
  <c r="AX61" i="23"/>
  <c r="AY60" i="23"/>
  <c r="AS60" i="23"/>
  <c r="AU60" i="23"/>
  <c r="AV60" i="23"/>
  <c r="AW60" i="23"/>
  <c r="AX60" i="23"/>
  <c r="AY59" i="23"/>
  <c r="AS59" i="23"/>
  <c r="AU59" i="23"/>
  <c r="AV59" i="23"/>
  <c r="AW59" i="23"/>
  <c r="AX59" i="23"/>
  <c r="AY58" i="23"/>
  <c r="AS58" i="23"/>
  <c r="AU58" i="23"/>
  <c r="AV58" i="23"/>
  <c r="AW58" i="23"/>
  <c r="AX58" i="23"/>
  <c r="AY57" i="23"/>
  <c r="AS57" i="23"/>
  <c r="AU57" i="23"/>
  <c r="AV57" i="23"/>
  <c r="AW57" i="23"/>
  <c r="AX57" i="23"/>
  <c r="AY56" i="23"/>
  <c r="AS56" i="23"/>
  <c r="AU56" i="23"/>
  <c r="AV56" i="23"/>
  <c r="AW56" i="23"/>
  <c r="AX56" i="23"/>
  <c r="AY55" i="23"/>
  <c r="AS55" i="23"/>
  <c r="AU55" i="23"/>
  <c r="AV55" i="23"/>
  <c r="AW55" i="23"/>
  <c r="AX55" i="23"/>
  <c r="AY54" i="23"/>
  <c r="AS54" i="23"/>
  <c r="AU54" i="23"/>
  <c r="AV54" i="23"/>
  <c r="AW54" i="23"/>
  <c r="AX54" i="23"/>
  <c r="AY53" i="23"/>
  <c r="AS53" i="23"/>
  <c r="AU53" i="23"/>
  <c r="AV53" i="23"/>
  <c r="AW53" i="23"/>
  <c r="AX53" i="23"/>
  <c r="AY52" i="23"/>
  <c r="AS52" i="23"/>
  <c r="AU52" i="23"/>
  <c r="AV52" i="23"/>
  <c r="AW52" i="23"/>
  <c r="AX52" i="23"/>
  <c r="AY51" i="23"/>
  <c r="AS51" i="23"/>
  <c r="AU51" i="23"/>
  <c r="AV51" i="23"/>
  <c r="AW51" i="23"/>
  <c r="AX51" i="23"/>
  <c r="AY50" i="23"/>
  <c r="AS50" i="23"/>
  <c r="AU50" i="23"/>
  <c r="AV50" i="23"/>
  <c r="AW50" i="23"/>
  <c r="AX50" i="23"/>
  <c r="AY49" i="23"/>
  <c r="AS49" i="23"/>
  <c r="AU49" i="23"/>
  <c r="AV49" i="23"/>
  <c r="AW49" i="23"/>
  <c r="AX49" i="23"/>
  <c r="AY48" i="23"/>
  <c r="AS48" i="23"/>
  <c r="AU48" i="23"/>
  <c r="AV48" i="23"/>
  <c r="AW48" i="23"/>
  <c r="AX48" i="23"/>
  <c r="AY47" i="23"/>
  <c r="AS47" i="23"/>
  <c r="AU47" i="23"/>
  <c r="AV47" i="23"/>
  <c r="AW47" i="23"/>
  <c r="AX47" i="23"/>
  <c r="AY46" i="23"/>
  <c r="AS46" i="23"/>
  <c r="AU46" i="23"/>
  <c r="AV46" i="23"/>
  <c r="AW46" i="23"/>
  <c r="AX46" i="23"/>
  <c r="AY45" i="23"/>
  <c r="AS45" i="23"/>
  <c r="AU45" i="23"/>
  <c r="AV45" i="23"/>
  <c r="AW45" i="23"/>
  <c r="AX45" i="23"/>
  <c r="AY44" i="23"/>
  <c r="AS44" i="23"/>
  <c r="AU44" i="23"/>
  <c r="AV44" i="23"/>
  <c r="AW44" i="23"/>
  <c r="AX44" i="23"/>
  <c r="AY43" i="23"/>
  <c r="AS43" i="23"/>
  <c r="AU43" i="23"/>
  <c r="AV43" i="23"/>
  <c r="AW43" i="23"/>
  <c r="AX43" i="23"/>
  <c r="AY42" i="23"/>
  <c r="AS42" i="23"/>
  <c r="AU42" i="23"/>
  <c r="AV42" i="23"/>
  <c r="AW42" i="23"/>
  <c r="AX42" i="23"/>
  <c r="AY41" i="23"/>
  <c r="AS41" i="23"/>
  <c r="AU41" i="23"/>
  <c r="AV41" i="23"/>
  <c r="AW41" i="23"/>
  <c r="AX41" i="23"/>
  <c r="AY40" i="23"/>
  <c r="AS40" i="23"/>
  <c r="AU40" i="23"/>
  <c r="AV40" i="23"/>
  <c r="AW40" i="23"/>
  <c r="AX40" i="23"/>
  <c r="AY39" i="23"/>
  <c r="AS39" i="23"/>
  <c r="AU39" i="23"/>
  <c r="AV39" i="23"/>
  <c r="AW39" i="23"/>
  <c r="AX39" i="23"/>
  <c r="AY38" i="23"/>
  <c r="AS38" i="23"/>
  <c r="AU38" i="23"/>
  <c r="AV38" i="23"/>
  <c r="AW38" i="23"/>
  <c r="AX38" i="23"/>
  <c r="AY37" i="23"/>
  <c r="AS37" i="23"/>
  <c r="AU37" i="23"/>
  <c r="AV37" i="23"/>
  <c r="AW37" i="23"/>
  <c r="AX37" i="23"/>
  <c r="AY36" i="23"/>
  <c r="AS36" i="23"/>
  <c r="AU36" i="23"/>
  <c r="AV36" i="23"/>
  <c r="AW36" i="23"/>
  <c r="AX36" i="23"/>
  <c r="U36" i="23"/>
  <c r="AY35" i="23"/>
  <c r="AS35" i="23"/>
  <c r="AU35" i="23"/>
  <c r="AV35" i="23"/>
  <c r="AW35" i="23"/>
  <c r="AX35" i="23"/>
  <c r="AY34" i="23"/>
  <c r="AS34" i="23"/>
  <c r="AU34" i="23"/>
  <c r="AV34" i="23"/>
  <c r="AW34" i="23"/>
  <c r="AX34" i="23"/>
  <c r="AY33" i="23"/>
  <c r="AS33" i="23"/>
  <c r="AU33" i="23"/>
  <c r="AV33" i="23"/>
  <c r="AW33" i="23"/>
  <c r="AX33" i="23"/>
  <c r="S16" i="23"/>
  <c r="V16" i="23"/>
  <c r="I33" i="23"/>
  <c r="S15" i="23"/>
  <c r="V15" i="23"/>
  <c r="T15" i="23"/>
  <c r="R6" i="23"/>
  <c r="S6" i="23"/>
  <c r="T6" i="23"/>
  <c r="S11" i="23"/>
  <c r="T11" i="23"/>
  <c r="W27" i="23"/>
  <c r="W23" i="23"/>
  <c r="W31" i="23"/>
  <c r="T14" i="23"/>
  <c r="V14" i="23"/>
  <c r="I31" i="23"/>
  <c r="AY30" i="23"/>
  <c r="AS30" i="23"/>
  <c r="AU30" i="23"/>
  <c r="AV30" i="23"/>
  <c r="AW30" i="23"/>
  <c r="AX30" i="23"/>
  <c r="S10" i="23"/>
  <c r="T10" i="23"/>
  <c r="AY29" i="23"/>
  <c r="AS29" i="23"/>
  <c r="AU29" i="23"/>
  <c r="AV29" i="23"/>
  <c r="AW29" i="23"/>
  <c r="AX29" i="23"/>
  <c r="W24" i="23"/>
  <c r="W29" i="23"/>
  <c r="I23" i="23"/>
  <c r="AS4" i="23"/>
  <c r="AT4" i="23"/>
  <c r="AS5" i="23"/>
  <c r="AU5" i="23"/>
  <c r="AW5" i="23"/>
  <c r="AX5" i="23"/>
  <c r="AY5" i="23"/>
  <c r="AV5" i="23"/>
  <c r="AS6" i="23"/>
  <c r="AU6" i="23"/>
  <c r="AW6" i="23"/>
  <c r="AX6" i="23"/>
  <c r="AY6" i="23"/>
  <c r="AV6" i="23"/>
  <c r="AS7" i="23"/>
  <c r="AU7" i="23"/>
  <c r="AW7" i="23"/>
  <c r="AX7" i="23"/>
  <c r="AY7" i="23"/>
  <c r="AV7" i="23"/>
  <c r="AS8" i="23"/>
  <c r="AU8" i="23"/>
  <c r="AW8" i="23"/>
  <c r="AX8" i="23"/>
  <c r="AY8" i="23"/>
  <c r="AV8" i="23"/>
  <c r="AS9" i="23"/>
  <c r="AU9" i="23"/>
  <c r="AW9" i="23"/>
  <c r="AX9" i="23"/>
  <c r="AY9" i="23"/>
  <c r="AV9" i="23"/>
  <c r="AS10" i="23"/>
  <c r="AU10" i="23"/>
  <c r="AW10" i="23"/>
  <c r="AX10" i="23"/>
  <c r="AY10" i="23"/>
  <c r="AV10" i="23"/>
  <c r="AS11" i="23"/>
  <c r="AU11" i="23"/>
  <c r="AW11" i="23"/>
  <c r="AX11" i="23"/>
  <c r="AY11" i="23"/>
  <c r="AV11" i="23"/>
  <c r="AS12" i="23"/>
  <c r="AU12" i="23"/>
  <c r="AW12" i="23"/>
  <c r="AX12" i="23"/>
  <c r="AY12" i="23"/>
  <c r="AV12" i="23"/>
  <c r="AS13" i="23"/>
  <c r="AU13" i="23"/>
  <c r="AW13" i="23"/>
  <c r="AX13" i="23"/>
  <c r="AY13" i="23"/>
  <c r="AV13" i="23"/>
  <c r="AS14" i="23"/>
  <c r="AU14" i="23"/>
  <c r="AW14" i="23"/>
  <c r="AX14" i="23"/>
  <c r="AY14" i="23"/>
  <c r="AV14" i="23"/>
  <c r="AS15" i="23"/>
  <c r="AU15" i="23"/>
  <c r="AW15" i="23"/>
  <c r="AX15" i="23"/>
  <c r="AY15" i="23"/>
  <c r="AV15" i="23"/>
  <c r="AS16" i="23"/>
  <c r="AU16" i="23"/>
  <c r="AW16" i="23"/>
  <c r="AX16" i="23"/>
  <c r="AY16" i="23"/>
  <c r="AV16" i="23"/>
  <c r="AS17" i="23"/>
  <c r="AU17" i="23"/>
  <c r="AW17" i="23"/>
  <c r="AX17" i="23"/>
  <c r="AY17" i="23"/>
  <c r="AV17" i="23"/>
  <c r="AS18" i="23"/>
  <c r="AU18" i="23"/>
  <c r="AW18" i="23"/>
  <c r="AX18" i="23"/>
  <c r="AY18" i="23"/>
  <c r="AV18" i="23"/>
  <c r="AS19" i="23"/>
  <c r="AU19" i="23"/>
  <c r="AW19" i="23"/>
  <c r="AX19" i="23"/>
  <c r="AY19" i="23"/>
  <c r="AV19" i="23"/>
  <c r="AS20" i="23"/>
  <c r="AU20" i="23"/>
  <c r="AW20" i="23"/>
  <c r="AX20" i="23"/>
  <c r="AY20" i="23"/>
  <c r="AV20" i="23"/>
  <c r="AS21" i="23"/>
  <c r="AU21" i="23"/>
  <c r="AW21" i="23"/>
  <c r="AX21" i="23"/>
  <c r="AY21" i="23"/>
  <c r="AV21" i="23"/>
  <c r="AS22" i="23"/>
  <c r="AU22" i="23"/>
  <c r="AW22" i="23"/>
  <c r="AX22" i="23"/>
  <c r="AY22" i="23"/>
  <c r="AV22" i="23"/>
  <c r="AS23" i="23"/>
  <c r="AU23" i="23"/>
  <c r="AW23" i="23"/>
  <c r="AX23" i="23"/>
  <c r="AY23" i="23"/>
  <c r="AV23" i="23"/>
  <c r="AS24" i="23"/>
  <c r="AU24" i="23"/>
  <c r="AV24" i="23"/>
  <c r="AW24" i="23"/>
  <c r="AX24" i="23"/>
  <c r="AY24" i="23"/>
  <c r="AY25" i="23"/>
  <c r="AY26" i="23"/>
  <c r="AY27" i="23"/>
  <c r="AY28" i="23"/>
  <c r="AZ5" i="23"/>
  <c r="R19" i="23"/>
  <c r="AW4" i="23"/>
  <c r="AX4" i="23"/>
  <c r="AY4" i="23"/>
  <c r="S19" i="23"/>
  <c r="T19" i="23"/>
  <c r="V19" i="23"/>
  <c r="I24" i="23"/>
  <c r="G29" i="23"/>
  <c r="AS28" i="23"/>
  <c r="AU28" i="23"/>
  <c r="AV28" i="23"/>
  <c r="AW28" i="23"/>
  <c r="AX28" i="23"/>
  <c r="AS27" i="23"/>
  <c r="AU27" i="23"/>
  <c r="AV27" i="23"/>
  <c r="AW27" i="23"/>
  <c r="AX27" i="23"/>
  <c r="I21" i="23"/>
  <c r="G27" i="23"/>
  <c r="AS26" i="23"/>
  <c r="AU26" i="23"/>
  <c r="AV26" i="23"/>
  <c r="AW26" i="23"/>
  <c r="AX26" i="23"/>
  <c r="W26" i="23"/>
  <c r="AS25" i="23"/>
  <c r="AU25" i="23"/>
  <c r="AV25" i="23"/>
  <c r="AW25" i="23"/>
  <c r="AX25" i="23"/>
  <c r="S25" i="23"/>
  <c r="I25" i="23"/>
  <c r="S23" i="23"/>
  <c r="W16" i="23"/>
  <c r="W14" i="23"/>
  <c r="BA5" i="23"/>
  <c r="AR5" i="22"/>
  <c r="AR6" i="22"/>
  <c r="AR7" i="22"/>
  <c r="AR8" i="22"/>
  <c r="AR9" i="22"/>
  <c r="AR10" i="22"/>
  <c r="AR11" i="22"/>
  <c r="AR12" i="22"/>
  <c r="AR13" i="22"/>
  <c r="AR14" i="22"/>
  <c r="AR15" i="22"/>
  <c r="AR16" i="22"/>
  <c r="AR17" i="22"/>
  <c r="AR18" i="22"/>
  <c r="AR19" i="22"/>
  <c r="AR20" i="22"/>
  <c r="AR21" i="22"/>
  <c r="AR22" i="22"/>
  <c r="AR23" i="22"/>
  <c r="AR24" i="22"/>
  <c r="AR25" i="22"/>
  <c r="AR26" i="22"/>
  <c r="AR27" i="22"/>
  <c r="AR28" i="22"/>
  <c r="AR29" i="22"/>
  <c r="AR30" i="22"/>
  <c r="AR33" i="22"/>
  <c r="AR34" i="22"/>
  <c r="AR35" i="22"/>
  <c r="AR36" i="22"/>
  <c r="AR37" i="22"/>
  <c r="AR38" i="22"/>
  <c r="AR39" i="22"/>
  <c r="AR40" i="22"/>
  <c r="AR41" i="22"/>
  <c r="AR42" i="22"/>
  <c r="AR43" i="22"/>
  <c r="AR44" i="22"/>
  <c r="AR45" i="22"/>
  <c r="AR46" i="22"/>
  <c r="AR47" i="22"/>
  <c r="AR48" i="22"/>
  <c r="AR49" i="22"/>
  <c r="AR50" i="22"/>
  <c r="AR51" i="22"/>
  <c r="AR52" i="22"/>
  <c r="AR53" i="22"/>
  <c r="AR54" i="22"/>
  <c r="AR55" i="22"/>
  <c r="AR56" i="22"/>
  <c r="AR57" i="22"/>
  <c r="AR58" i="22"/>
  <c r="AR59" i="22"/>
  <c r="AR60" i="22"/>
  <c r="AR61" i="22"/>
  <c r="AR62" i="22"/>
  <c r="AR63" i="22"/>
  <c r="AR64" i="22"/>
  <c r="AR65" i="22"/>
  <c r="AR66" i="22"/>
  <c r="AR67" i="22"/>
  <c r="AR68" i="22"/>
  <c r="AR69" i="22"/>
  <c r="AR70" i="22"/>
  <c r="AR71" i="22"/>
  <c r="AR72" i="22"/>
  <c r="AR73" i="22"/>
  <c r="AR74" i="22"/>
  <c r="AR75" i="22"/>
  <c r="AR76" i="22"/>
  <c r="AR77" i="22"/>
  <c r="AR78" i="22"/>
  <c r="AR79" i="22"/>
  <c r="AR80" i="22"/>
  <c r="AR81" i="22"/>
  <c r="AR82" i="22"/>
  <c r="AR83" i="22"/>
  <c r="AR84" i="22"/>
  <c r="AR85" i="22"/>
  <c r="AR86" i="22"/>
  <c r="AR87" i="22"/>
  <c r="AR88" i="22"/>
  <c r="AR89" i="22"/>
  <c r="AR90" i="22"/>
  <c r="AR91" i="22"/>
  <c r="AR92" i="22"/>
  <c r="AR93" i="22"/>
  <c r="AR94" i="22"/>
  <c r="AR95" i="22"/>
  <c r="AR96" i="22"/>
  <c r="AR97" i="22"/>
  <c r="AR98" i="22"/>
  <c r="AR99" i="22"/>
  <c r="AR100" i="22"/>
  <c r="AR101" i="22"/>
  <c r="AR102" i="22"/>
  <c r="AR103" i="22"/>
  <c r="AR104" i="22"/>
  <c r="AR105" i="22"/>
  <c r="AR106" i="22"/>
  <c r="AR107" i="22"/>
  <c r="AR108" i="22"/>
  <c r="AR109" i="22"/>
  <c r="AR110" i="22"/>
  <c r="AR111" i="22"/>
  <c r="AR112" i="22"/>
  <c r="AR113" i="22"/>
  <c r="AY113" i="22"/>
  <c r="AS113" i="22"/>
  <c r="AU113" i="22"/>
  <c r="AV113" i="22"/>
  <c r="AW113" i="22"/>
  <c r="AX113" i="22"/>
  <c r="AY112" i="22"/>
  <c r="AS112" i="22"/>
  <c r="AU112" i="22"/>
  <c r="AV112" i="22"/>
  <c r="AW112" i="22"/>
  <c r="AX112" i="22"/>
  <c r="AY111" i="22"/>
  <c r="AS111" i="22"/>
  <c r="AU111" i="22"/>
  <c r="AV111" i="22"/>
  <c r="AW111" i="22"/>
  <c r="AX111" i="22"/>
  <c r="AY110" i="22"/>
  <c r="AS110" i="22"/>
  <c r="AU110" i="22"/>
  <c r="AV110" i="22"/>
  <c r="AW110" i="22"/>
  <c r="AX110" i="22"/>
  <c r="AY109" i="22"/>
  <c r="AS109" i="22"/>
  <c r="AU109" i="22"/>
  <c r="AV109" i="22"/>
  <c r="AW109" i="22"/>
  <c r="AX109" i="22"/>
  <c r="AY108" i="22"/>
  <c r="AS108" i="22"/>
  <c r="AU108" i="22"/>
  <c r="AV108" i="22"/>
  <c r="AW108" i="22"/>
  <c r="AX108" i="22"/>
  <c r="AY107" i="22"/>
  <c r="AS107" i="22"/>
  <c r="AU107" i="22"/>
  <c r="AV107" i="22"/>
  <c r="AW107" i="22"/>
  <c r="AX107" i="22"/>
  <c r="AY106" i="22"/>
  <c r="AS106" i="22"/>
  <c r="AU106" i="22"/>
  <c r="AV106" i="22"/>
  <c r="AW106" i="22"/>
  <c r="AX106" i="22"/>
  <c r="AY105" i="22"/>
  <c r="AS105" i="22"/>
  <c r="AU105" i="22"/>
  <c r="AV105" i="22"/>
  <c r="AW105" i="22"/>
  <c r="AX105" i="22"/>
  <c r="AY104" i="22"/>
  <c r="AS104" i="22"/>
  <c r="AU104" i="22"/>
  <c r="AV104" i="22"/>
  <c r="AW104" i="22"/>
  <c r="AX104" i="22"/>
  <c r="AY103" i="22"/>
  <c r="AS103" i="22"/>
  <c r="AU103" i="22"/>
  <c r="AV103" i="22"/>
  <c r="AW103" i="22"/>
  <c r="AX103" i="22"/>
  <c r="AY102" i="22"/>
  <c r="AS102" i="22"/>
  <c r="AU102" i="22"/>
  <c r="AV102" i="22"/>
  <c r="AW102" i="22"/>
  <c r="AX102" i="22"/>
  <c r="AY101" i="22"/>
  <c r="AS101" i="22"/>
  <c r="AU101" i="22"/>
  <c r="AV101" i="22"/>
  <c r="AW101" i="22"/>
  <c r="AX101" i="22"/>
  <c r="AY100" i="22"/>
  <c r="AS100" i="22"/>
  <c r="AU100" i="22"/>
  <c r="AV100" i="22"/>
  <c r="AW100" i="22"/>
  <c r="AX100" i="22"/>
  <c r="AY99" i="22"/>
  <c r="AS99" i="22"/>
  <c r="AU99" i="22"/>
  <c r="AV99" i="22"/>
  <c r="AW99" i="22"/>
  <c r="AX99" i="22"/>
  <c r="AY98" i="22"/>
  <c r="AS98" i="22"/>
  <c r="AU98" i="22"/>
  <c r="AV98" i="22"/>
  <c r="AW98" i="22"/>
  <c r="AX98" i="22"/>
  <c r="AY97" i="22"/>
  <c r="AS97" i="22"/>
  <c r="AU97" i="22"/>
  <c r="AV97" i="22"/>
  <c r="AW97" i="22"/>
  <c r="AX97" i="22"/>
  <c r="AY96" i="22"/>
  <c r="AS96" i="22"/>
  <c r="AU96" i="22"/>
  <c r="AV96" i="22"/>
  <c r="AW96" i="22"/>
  <c r="AX96" i="22"/>
  <c r="AY95" i="22"/>
  <c r="AS95" i="22"/>
  <c r="AU95" i="22"/>
  <c r="AV95" i="22"/>
  <c r="AW95" i="22"/>
  <c r="AX95" i="22"/>
  <c r="AY94" i="22"/>
  <c r="AS94" i="22"/>
  <c r="AU94" i="22"/>
  <c r="AV94" i="22"/>
  <c r="AW94" i="22"/>
  <c r="AX94" i="22"/>
  <c r="AY93" i="22"/>
  <c r="AS93" i="22"/>
  <c r="AU93" i="22"/>
  <c r="AV93" i="22"/>
  <c r="AW93" i="22"/>
  <c r="AX93" i="22"/>
  <c r="AY92" i="22"/>
  <c r="AS92" i="22"/>
  <c r="AU92" i="22"/>
  <c r="AV92" i="22"/>
  <c r="AW92" i="22"/>
  <c r="AX92" i="22"/>
  <c r="AY91" i="22"/>
  <c r="AS91" i="22"/>
  <c r="AU91" i="22"/>
  <c r="AV91" i="22"/>
  <c r="AW91" i="22"/>
  <c r="AX91" i="22"/>
  <c r="AY90" i="22"/>
  <c r="AS90" i="22"/>
  <c r="AU90" i="22"/>
  <c r="AV90" i="22"/>
  <c r="AW90" i="22"/>
  <c r="AX90" i="22"/>
  <c r="AY89" i="22"/>
  <c r="AS89" i="22"/>
  <c r="AU89" i="22"/>
  <c r="AV89" i="22"/>
  <c r="AW89" i="22"/>
  <c r="AX89" i="22"/>
  <c r="AY88" i="22"/>
  <c r="AS88" i="22"/>
  <c r="AU88" i="22"/>
  <c r="AV88" i="22"/>
  <c r="AW88" i="22"/>
  <c r="AX88" i="22"/>
  <c r="AY87" i="22"/>
  <c r="AS87" i="22"/>
  <c r="AU87" i="22"/>
  <c r="AV87" i="22"/>
  <c r="AW87" i="22"/>
  <c r="AX87" i="22"/>
  <c r="AY86" i="22"/>
  <c r="AS86" i="22"/>
  <c r="AU86" i="22"/>
  <c r="AV86" i="22"/>
  <c r="AW86" i="22"/>
  <c r="AX86" i="22"/>
  <c r="AY85" i="22"/>
  <c r="AS85" i="22"/>
  <c r="AU85" i="22"/>
  <c r="AV85" i="22"/>
  <c r="AW85" i="22"/>
  <c r="AX85" i="22"/>
  <c r="AY84" i="22"/>
  <c r="AS84" i="22"/>
  <c r="AU84" i="22"/>
  <c r="AV84" i="22"/>
  <c r="AW84" i="22"/>
  <c r="AX84" i="22"/>
  <c r="AY83" i="22"/>
  <c r="AS83" i="22"/>
  <c r="AU83" i="22"/>
  <c r="AV83" i="22"/>
  <c r="AW83" i="22"/>
  <c r="AX83" i="22"/>
  <c r="AY82" i="22"/>
  <c r="AS82" i="22"/>
  <c r="AU82" i="22"/>
  <c r="AV82" i="22"/>
  <c r="AW82" i="22"/>
  <c r="AX82" i="22"/>
  <c r="AY81" i="22"/>
  <c r="AS81" i="22"/>
  <c r="AU81" i="22"/>
  <c r="AV81" i="22"/>
  <c r="AW81" i="22"/>
  <c r="AX81" i="22"/>
  <c r="AY80" i="22"/>
  <c r="AS80" i="22"/>
  <c r="AU80" i="22"/>
  <c r="AV80" i="22"/>
  <c r="AW80" i="22"/>
  <c r="AX80" i="22"/>
  <c r="AY79" i="22"/>
  <c r="AS79" i="22"/>
  <c r="AU79" i="22"/>
  <c r="AV79" i="22"/>
  <c r="AW79" i="22"/>
  <c r="AX79" i="22"/>
  <c r="AY78" i="22"/>
  <c r="AS78" i="22"/>
  <c r="AU78" i="22"/>
  <c r="AV78" i="22"/>
  <c r="AW78" i="22"/>
  <c r="AX78" i="22"/>
  <c r="AY77" i="22"/>
  <c r="AS77" i="22"/>
  <c r="AU77" i="22"/>
  <c r="AV77" i="22"/>
  <c r="AW77" i="22"/>
  <c r="AX77" i="22"/>
  <c r="AY76" i="22"/>
  <c r="AS76" i="22"/>
  <c r="AU76" i="22"/>
  <c r="AV76" i="22"/>
  <c r="AW76" i="22"/>
  <c r="AX76" i="22"/>
  <c r="AY75" i="22"/>
  <c r="AS75" i="22"/>
  <c r="AU75" i="22"/>
  <c r="AV75" i="22"/>
  <c r="AW75" i="22"/>
  <c r="AX75" i="22"/>
  <c r="AY74" i="22"/>
  <c r="AS74" i="22"/>
  <c r="AU74" i="22"/>
  <c r="AV74" i="22"/>
  <c r="AW74" i="22"/>
  <c r="AX74" i="22"/>
  <c r="AY73" i="22"/>
  <c r="AS73" i="22"/>
  <c r="AU73" i="22"/>
  <c r="AV73" i="22"/>
  <c r="AW73" i="22"/>
  <c r="AX73" i="22"/>
  <c r="AY72" i="22"/>
  <c r="AS72" i="22"/>
  <c r="AU72" i="22"/>
  <c r="AV72" i="22"/>
  <c r="AW72" i="22"/>
  <c r="AX72" i="22"/>
  <c r="AY71" i="22"/>
  <c r="AS71" i="22"/>
  <c r="AU71" i="22"/>
  <c r="AV71" i="22"/>
  <c r="AW71" i="22"/>
  <c r="AX71" i="22"/>
  <c r="AY70" i="22"/>
  <c r="AS70" i="22"/>
  <c r="AU70" i="22"/>
  <c r="AV70" i="22"/>
  <c r="AW70" i="22"/>
  <c r="AX70" i="22"/>
  <c r="AY69" i="22"/>
  <c r="AS69" i="22"/>
  <c r="AU69" i="22"/>
  <c r="AV69" i="22"/>
  <c r="AW69" i="22"/>
  <c r="AX69" i="22"/>
  <c r="AY68" i="22"/>
  <c r="AS68" i="22"/>
  <c r="AU68" i="22"/>
  <c r="AV68" i="22"/>
  <c r="AW68" i="22"/>
  <c r="AX68" i="22"/>
  <c r="AY67" i="22"/>
  <c r="AS67" i="22"/>
  <c r="AU67" i="22"/>
  <c r="AV67" i="22"/>
  <c r="AW67" i="22"/>
  <c r="AX67" i="22"/>
  <c r="AY66" i="22"/>
  <c r="AS66" i="22"/>
  <c r="AU66" i="22"/>
  <c r="AV66" i="22"/>
  <c r="AW66" i="22"/>
  <c r="AX66" i="22"/>
  <c r="AY65" i="22"/>
  <c r="AS65" i="22"/>
  <c r="AU65" i="22"/>
  <c r="AV65" i="22"/>
  <c r="AW65" i="22"/>
  <c r="AX65" i="22"/>
  <c r="AY64" i="22"/>
  <c r="AS64" i="22"/>
  <c r="AU64" i="22"/>
  <c r="AV64" i="22"/>
  <c r="AW64" i="22"/>
  <c r="AX64" i="22"/>
  <c r="AY63" i="22"/>
  <c r="AS63" i="22"/>
  <c r="AU63" i="22"/>
  <c r="AV63" i="22"/>
  <c r="AW63" i="22"/>
  <c r="AX63" i="22"/>
  <c r="AY62" i="22"/>
  <c r="AS62" i="22"/>
  <c r="AU62" i="22"/>
  <c r="AV62" i="22"/>
  <c r="AW62" i="22"/>
  <c r="AX62" i="22"/>
  <c r="AY61" i="22"/>
  <c r="AS61" i="22"/>
  <c r="AU61" i="22"/>
  <c r="AV61" i="22"/>
  <c r="AW61" i="22"/>
  <c r="AX61" i="22"/>
  <c r="AY60" i="22"/>
  <c r="AS60" i="22"/>
  <c r="AU60" i="22"/>
  <c r="AV60" i="22"/>
  <c r="AW60" i="22"/>
  <c r="AX60" i="22"/>
  <c r="AY59" i="22"/>
  <c r="AS59" i="22"/>
  <c r="AU59" i="22"/>
  <c r="AV59" i="22"/>
  <c r="AW59" i="22"/>
  <c r="AX59" i="22"/>
  <c r="AY58" i="22"/>
  <c r="AS58" i="22"/>
  <c r="AU58" i="22"/>
  <c r="AV58" i="22"/>
  <c r="AW58" i="22"/>
  <c r="AX58" i="22"/>
  <c r="AY57" i="22"/>
  <c r="AS57" i="22"/>
  <c r="AU57" i="22"/>
  <c r="AV57" i="22"/>
  <c r="AW57" i="22"/>
  <c r="AX57" i="22"/>
  <c r="AY56" i="22"/>
  <c r="AS56" i="22"/>
  <c r="AU56" i="22"/>
  <c r="AV56" i="22"/>
  <c r="AW56" i="22"/>
  <c r="AX56" i="22"/>
  <c r="AY55" i="22"/>
  <c r="AS55" i="22"/>
  <c r="AU55" i="22"/>
  <c r="AV55" i="22"/>
  <c r="AW55" i="22"/>
  <c r="AX55" i="22"/>
  <c r="AY54" i="22"/>
  <c r="AS54" i="22"/>
  <c r="AU54" i="22"/>
  <c r="AV54" i="22"/>
  <c r="AW54" i="22"/>
  <c r="AX54" i="22"/>
  <c r="AY53" i="22"/>
  <c r="AS53" i="22"/>
  <c r="AU53" i="22"/>
  <c r="AV53" i="22"/>
  <c r="AW53" i="22"/>
  <c r="AX53" i="22"/>
  <c r="AY52" i="22"/>
  <c r="AS52" i="22"/>
  <c r="AU52" i="22"/>
  <c r="AV52" i="22"/>
  <c r="AW52" i="22"/>
  <c r="AX52" i="22"/>
  <c r="AY51" i="22"/>
  <c r="AS51" i="22"/>
  <c r="AU51" i="22"/>
  <c r="AV51" i="22"/>
  <c r="AW51" i="22"/>
  <c r="AX51" i="22"/>
  <c r="AY50" i="22"/>
  <c r="AS50" i="22"/>
  <c r="AU50" i="22"/>
  <c r="AV50" i="22"/>
  <c r="AW50" i="22"/>
  <c r="AX50" i="22"/>
  <c r="AY49" i="22"/>
  <c r="AS49" i="22"/>
  <c r="AU49" i="22"/>
  <c r="AV49" i="22"/>
  <c r="AW49" i="22"/>
  <c r="AX49" i="22"/>
  <c r="AY48" i="22"/>
  <c r="AS48" i="22"/>
  <c r="AU48" i="22"/>
  <c r="AV48" i="22"/>
  <c r="AW48" i="22"/>
  <c r="AX48" i="22"/>
  <c r="AY47" i="22"/>
  <c r="AS47" i="22"/>
  <c r="AU47" i="22"/>
  <c r="AV47" i="22"/>
  <c r="AW47" i="22"/>
  <c r="AX47" i="22"/>
  <c r="AY46" i="22"/>
  <c r="AS46" i="22"/>
  <c r="AU46" i="22"/>
  <c r="AV46" i="22"/>
  <c r="AW46" i="22"/>
  <c r="AX46" i="22"/>
  <c r="AY45" i="22"/>
  <c r="AS45" i="22"/>
  <c r="AU45" i="22"/>
  <c r="AV45" i="22"/>
  <c r="AW45" i="22"/>
  <c r="AX45" i="22"/>
  <c r="AY44" i="22"/>
  <c r="AS44" i="22"/>
  <c r="AU44" i="22"/>
  <c r="AV44" i="22"/>
  <c r="AW44" i="22"/>
  <c r="AX44" i="22"/>
  <c r="AY43" i="22"/>
  <c r="AS43" i="22"/>
  <c r="AU43" i="22"/>
  <c r="AV43" i="22"/>
  <c r="AW43" i="22"/>
  <c r="AX43" i="22"/>
  <c r="AY42" i="22"/>
  <c r="AS42" i="22"/>
  <c r="AU42" i="22"/>
  <c r="AV42" i="22"/>
  <c r="AW42" i="22"/>
  <c r="AX42" i="22"/>
  <c r="AY41" i="22"/>
  <c r="AS41" i="22"/>
  <c r="AU41" i="22"/>
  <c r="AV41" i="22"/>
  <c r="AW41" i="22"/>
  <c r="AX41" i="22"/>
  <c r="AY40" i="22"/>
  <c r="AS40" i="22"/>
  <c r="AU40" i="22"/>
  <c r="AV40" i="22"/>
  <c r="AW40" i="22"/>
  <c r="AX40" i="22"/>
  <c r="AY39" i="22"/>
  <c r="AS39" i="22"/>
  <c r="AU39" i="22"/>
  <c r="AV39" i="22"/>
  <c r="AW39" i="22"/>
  <c r="AX39" i="22"/>
  <c r="AY38" i="22"/>
  <c r="AS38" i="22"/>
  <c r="AU38" i="22"/>
  <c r="AV38" i="22"/>
  <c r="AW38" i="22"/>
  <c r="AX38" i="22"/>
  <c r="AY37" i="22"/>
  <c r="AS37" i="22"/>
  <c r="AU37" i="22"/>
  <c r="AV37" i="22"/>
  <c r="AW37" i="22"/>
  <c r="AX37" i="22"/>
  <c r="AY36" i="22"/>
  <c r="AS36" i="22"/>
  <c r="AU36" i="22"/>
  <c r="AV36" i="22"/>
  <c r="AW36" i="22"/>
  <c r="AX36" i="22"/>
  <c r="U36" i="22"/>
  <c r="AY35" i="22"/>
  <c r="AS35" i="22"/>
  <c r="AU35" i="22"/>
  <c r="AV35" i="22"/>
  <c r="AW35" i="22"/>
  <c r="AX35" i="22"/>
  <c r="AY34" i="22"/>
  <c r="AS34" i="22"/>
  <c r="AU34" i="22"/>
  <c r="AV34" i="22"/>
  <c r="AW34" i="22"/>
  <c r="AX34" i="22"/>
  <c r="AY33" i="22"/>
  <c r="AS33" i="22"/>
  <c r="AU33" i="22"/>
  <c r="AV33" i="22"/>
  <c r="AW33" i="22"/>
  <c r="AX33" i="22"/>
  <c r="S16" i="22"/>
  <c r="V16" i="22"/>
  <c r="I33" i="22"/>
  <c r="S15" i="22"/>
  <c r="T15" i="22"/>
  <c r="V15" i="22"/>
  <c r="I32" i="22"/>
  <c r="R6" i="22"/>
  <c r="S6" i="22"/>
  <c r="T6" i="22"/>
  <c r="S11" i="22"/>
  <c r="T11" i="22"/>
  <c r="W27" i="22"/>
  <c r="R5" i="22"/>
  <c r="S5" i="22"/>
  <c r="T5" i="22"/>
  <c r="W23" i="22"/>
  <c r="W31" i="22"/>
  <c r="T14" i="22"/>
  <c r="V14" i="22"/>
  <c r="I31" i="22"/>
  <c r="AY30" i="22"/>
  <c r="AS30" i="22"/>
  <c r="AU30" i="22"/>
  <c r="AV30" i="22"/>
  <c r="AW30" i="22"/>
  <c r="AX30" i="22"/>
  <c r="V5" i="22"/>
  <c r="S10" i="22"/>
  <c r="T10" i="22"/>
  <c r="W25" i="22"/>
  <c r="W30" i="22"/>
  <c r="AY29" i="22"/>
  <c r="AS29" i="22"/>
  <c r="AU29" i="22"/>
  <c r="AV29" i="22"/>
  <c r="AW29" i="22"/>
  <c r="AX29" i="22"/>
  <c r="S9" i="22"/>
  <c r="W24" i="22"/>
  <c r="W29" i="22"/>
  <c r="I23" i="22"/>
  <c r="AS4" i="22"/>
  <c r="AT4" i="22"/>
  <c r="AS5" i="22"/>
  <c r="AU5" i="22"/>
  <c r="AW5" i="22"/>
  <c r="AX5" i="22"/>
  <c r="AY5" i="22"/>
  <c r="AV5" i="22"/>
  <c r="AS6" i="22"/>
  <c r="AU6" i="22"/>
  <c r="AW6" i="22"/>
  <c r="AX6" i="22"/>
  <c r="AY6" i="22"/>
  <c r="AV6" i="22"/>
  <c r="AS7" i="22"/>
  <c r="AU7" i="22"/>
  <c r="AW7" i="22"/>
  <c r="AX7" i="22"/>
  <c r="AY7" i="22"/>
  <c r="AV7" i="22"/>
  <c r="AS8" i="22"/>
  <c r="AU8" i="22"/>
  <c r="AW8" i="22"/>
  <c r="AX8" i="22"/>
  <c r="AY8" i="22"/>
  <c r="AV8" i="22"/>
  <c r="AS9" i="22"/>
  <c r="AU9" i="22"/>
  <c r="AW9" i="22"/>
  <c r="AX9" i="22"/>
  <c r="AY9" i="22"/>
  <c r="AV9" i="22"/>
  <c r="AS10" i="22"/>
  <c r="AU10" i="22"/>
  <c r="AW10" i="22"/>
  <c r="AX10" i="22"/>
  <c r="AY10" i="22"/>
  <c r="AV10" i="22"/>
  <c r="AS11" i="22"/>
  <c r="AU11" i="22"/>
  <c r="AW11" i="22"/>
  <c r="AX11" i="22"/>
  <c r="AY11" i="22"/>
  <c r="AV11" i="22"/>
  <c r="AS12" i="22"/>
  <c r="AU12" i="22"/>
  <c r="AW12" i="22"/>
  <c r="AX12" i="22"/>
  <c r="AY12" i="22"/>
  <c r="AV12" i="22"/>
  <c r="AS13" i="22"/>
  <c r="AU13" i="22"/>
  <c r="AW13" i="22"/>
  <c r="AX13" i="22"/>
  <c r="AY13" i="22"/>
  <c r="AV13" i="22"/>
  <c r="AS14" i="22"/>
  <c r="AU14" i="22"/>
  <c r="AW14" i="22"/>
  <c r="AX14" i="22"/>
  <c r="AY14" i="22"/>
  <c r="AV14" i="22"/>
  <c r="AS15" i="22"/>
  <c r="AU15" i="22"/>
  <c r="AW15" i="22"/>
  <c r="AX15" i="22"/>
  <c r="AY15" i="22"/>
  <c r="AV15" i="22"/>
  <c r="AS16" i="22"/>
  <c r="AU16" i="22"/>
  <c r="AW16" i="22"/>
  <c r="AX16" i="22"/>
  <c r="AY16" i="22"/>
  <c r="AV16" i="22"/>
  <c r="AS17" i="22"/>
  <c r="AU17" i="22"/>
  <c r="AW17" i="22"/>
  <c r="AX17" i="22"/>
  <c r="AY17" i="22"/>
  <c r="AV17" i="22"/>
  <c r="AS18" i="22"/>
  <c r="AU18" i="22"/>
  <c r="AW18" i="22"/>
  <c r="AX18" i="22"/>
  <c r="AY18" i="22"/>
  <c r="AV18" i="22"/>
  <c r="AS19" i="22"/>
  <c r="AU19" i="22"/>
  <c r="AV19" i="22"/>
  <c r="AW19" i="22"/>
  <c r="AX19" i="22"/>
  <c r="AY19" i="22"/>
  <c r="AS20" i="22"/>
  <c r="AU20" i="22"/>
  <c r="AV20" i="22"/>
  <c r="AW20" i="22"/>
  <c r="AX20" i="22"/>
  <c r="AY20" i="22"/>
  <c r="AS21" i="22"/>
  <c r="AU21" i="22"/>
  <c r="AV21" i="22"/>
  <c r="AW21" i="22"/>
  <c r="AX21" i="22"/>
  <c r="AY21" i="22"/>
  <c r="AS22" i="22"/>
  <c r="AU22" i="22"/>
  <c r="AV22" i="22"/>
  <c r="AW22" i="22"/>
  <c r="AX22" i="22"/>
  <c r="AY22" i="22"/>
  <c r="AS23" i="22"/>
  <c r="AU23" i="22"/>
  <c r="AV23" i="22"/>
  <c r="AW23" i="22"/>
  <c r="AX23" i="22"/>
  <c r="AY23" i="22"/>
  <c r="AS24" i="22"/>
  <c r="AU24" i="22"/>
  <c r="AV24" i="22"/>
  <c r="AW24" i="22"/>
  <c r="AX24" i="22"/>
  <c r="AY24" i="22"/>
  <c r="AY25" i="22"/>
  <c r="AY26" i="22"/>
  <c r="AY27" i="22"/>
  <c r="AY28" i="22"/>
  <c r="AZ5" i="22"/>
  <c r="R19" i="22"/>
  <c r="AW4" i="22"/>
  <c r="AX4" i="22"/>
  <c r="AY4" i="22"/>
  <c r="S19" i="22"/>
  <c r="T19" i="22"/>
  <c r="V19" i="22"/>
  <c r="I24" i="22"/>
  <c r="G29" i="22"/>
  <c r="AS28" i="22"/>
  <c r="AU28" i="22"/>
  <c r="AV28" i="22"/>
  <c r="AW28" i="22"/>
  <c r="AX28" i="22"/>
  <c r="I22" i="22"/>
  <c r="G28" i="22"/>
  <c r="AS27" i="22"/>
  <c r="AU27" i="22"/>
  <c r="AV27" i="22"/>
  <c r="AW27" i="22"/>
  <c r="AX27" i="22"/>
  <c r="I21" i="22"/>
  <c r="G27" i="22"/>
  <c r="AS26" i="22"/>
  <c r="AU26" i="22"/>
  <c r="AV26" i="22"/>
  <c r="AW26" i="22"/>
  <c r="AX26" i="22"/>
  <c r="W26" i="22"/>
  <c r="AS25" i="22"/>
  <c r="AU25" i="22"/>
  <c r="AV25" i="22"/>
  <c r="AW25" i="22"/>
  <c r="AX25" i="22"/>
  <c r="S25" i="22"/>
  <c r="I25" i="22"/>
  <c r="S24" i="22"/>
  <c r="S23" i="22"/>
  <c r="W16" i="22"/>
  <c r="W15" i="22"/>
  <c r="W14" i="22"/>
  <c r="BA5" i="22"/>
  <c r="AR5" i="21"/>
  <c r="AR6" i="21"/>
  <c r="AR7" i="21"/>
  <c r="AR8" i="21"/>
  <c r="AR9" i="21"/>
  <c r="AR10" i="21"/>
  <c r="AR11" i="21"/>
  <c r="AR12" i="21"/>
  <c r="AR13" i="21"/>
  <c r="AR14" i="21"/>
  <c r="AR15" i="21"/>
  <c r="AR16" i="21"/>
  <c r="AR17" i="21"/>
  <c r="AR18" i="21"/>
  <c r="AR19" i="21"/>
  <c r="AR20" i="21"/>
  <c r="AR21" i="21"/>
  <c r="AR22" i="21"/>
  <c r="AR23" i="21"/>
  <c r="AR24" i="21"/>
  <c r="AR25" i="21"/>
  <c r="AR26" i="21"/>
  <c r="AR27" i="21"/>
  <c r="AR28" i="21"/>
  <c r="AR29" i="21"/>
  <c r="AR30" i="21"/>
  <c r="AR33" i="21"/>
  <c r="AR34" i="21"/>
  <c r="AR35" i="21"/>
  <c r="AR36" i="21"/>
  <c r="AR37" i="21"/>
  <c r="AR38" i="21"/>
  <c r="AR39" i="21"/>
  <c r="AR40" i="21"/>
  <c r="AR41" i="21"/>
  <c r="AR42" i="21"/>
  <c r="AR43" i="21"/>
  <c r="AR44" i="21"/>
  <c r="AR45" i="21"/>
  <c r="AR46" i="21"/>
  <c r="AR47" i="21"/>
  <c r="AR48" i="21"/>
  <c r="AR49" i="21"/>
  <c r="AR50" i="21"/>
  <c r="AR51" i="21"/>
  <c r="AR52" i="21"/>
  <c r="AR53" i="21"/>
  <c r="AR54" i="21"/>
  <c r="AR55" i="21"/>
  <c r="AR56" i="21"/>
  <c r="AR57" i="21"/>
  <c r="AR58" i="21"/>
  <c r="AR59" i="21"/>
  <c r="AR60" i="21"/>
  <c r="AR61" i="21"/>
  <c r="AR62" i="21"/>
  <c r="AR63" i="21"/>
  <c r="AR64" i="21"/>
  <c r="AR65" i="21"/>
  <c r="AR66" i="21"/>
  <c r="AR67" i="21"/>
  <c r="AR68" i="21"/>
  <c r="AR69" i="21"/>
  <c r="AR70" i="21"/>
  <c r="AR71" i="21"/>
  <c r="AR72" i="21"/>
  <c r="AR73" i="21"/>
  <c r="AR74" i="21"/>
  <c r="AR75" i="21"/>
  <c r="AR76" i="21"/>
  <c r="AR77" i="21"/>
  <c r="AR78" i="21"/>
  <c r="AR79" i="21"/>
  <c r="AR80" i="21"/>
  <c r="AR81" i="21"/>
  <c r="AR82" i="21"/>
  <c r="AR83" i="21"/>
  <c r="AR84" i="21"/>
  <c r="AR85" i="21"/>
  <c r="AR86" i="21"/>
  <c r="AR87" i="21"/>
  <c r="AR88" i="21"/>
  <c r="AR89" i="21"/>
  <c r="AR90" i="21"/>
  <c r="AR91" i="21"/>
  <c r="AR92" i="21"/>
  <c r="AR93" i="21"/>
  <c r="AR94" i="21"/>
  <c r="AR95" i="21"/>
  <c r="AR96" i="21"/>
  <c r="AR97" i="21"/>
  <c r="AR98" i="21"/>
  <c r="AR99" i="21"/>
  <c r="AR100" i="21"/>
  <c r="AR101" i="21"/>
  <c r="AR102" i="21"/>
  <c r="AR103" i="21"/>
  <c r="AR104" i="21"/>
  <c r="AR105" i="21"/>
  <c r="AR106" i="21"/>
  <c r="AR107" i="21"/>
  <c r="AR108" i="21"/>
  <c r="AR109" i="21"/>
  <c r="AR110" i="21"/>
  <c r="AR111" i="21"/>
  <c r="AR112" i="21"/>
  <c r="AR113" i="21"/>
  <c r="AY113" i="21"/>
  <c r="AS113" i="21"/>
  <c r="AU113" i="21"/>
  <c r="AV113" i="21"/>
  <c r="AW113" i="21"/>
  <c r="AX113" i="21"/>
  <c r="AY112" i="21"/>
  <c r="AS112" i="21"/>
  <c r="AU112" i="21"/>
  <c r="AV112" i="21"/>
  <c r="AW112" i="21"/>
  <c r="AX112" i="21"/>
  <c r="AY111" i="21"/>
  <c r="AS111" i="21"/>
  <c r="AU111" i="21"/>
  <c r="AV111" i="21"/>
  <c r="AW111" i="21"/>
  <c r="AX111" i="21"/>
  <c r="AY110" i="21"/>
  <c r="AS110" i="21"/>
  <c r="AU110" i="21"/>
  <c r="AV110" i="21"/>
  <c r="AW110" i="21"/>
  <c r="AX110" i="21"/>
  <c r="AY109" i="21"/>
  <c r="AS109" i="21"/>
  <c r="AU109" i="21"/>
  <c r="AV109" i="21"/>
  <c r="AW109" i="21"/>
  <c r="AX109" i="21"/>
  <c r="AY108" i="21"/>
  <c r="AS108" i="21"/>
  <c r="AU108" i="21"/>
  <c r="AV108" i="21"/>
  <c r="AW108" i="21"/>
  <c r="AX108" i="21"/>
  <c r="AY107" i="21"/>
  <c r="AS107" i="21"/>
  <c r="AU107" i="21"/>
  <c r="AV107" i="21"/>
  <c r="AW107" i="21"/>
  <c r="AX107" i="21"/>
  <c r="AY106" i="21"/>
  <c r="AS106" i="21"/>
  <c r="AU106" i="21"/>
  <c r="AV106" i="21"/>
  <c r="AW106" i="21"/>
  <c r="AX106" i="21"/>
  <c r="AY105" i="21"/>
  <c r="AS105" i="21"/>
  <c r="AU105" i="21"/>
  <c r="AV105" i="21"/>
  <c r="AW105" i="21"/>
  <c r="AX105" i="21"/>
  <c r="AY104" i="21"/>
  <c r="AS104" i="21"/>
  <c r="AU104" i="21"/>
  <c r="AV104" i="21"/>
  <c r="AW104" i="21"/>
  <c r="AX104" i="21"/>
  <c r="AY103" i="21"/>
  <c r="AS103" i="21"/>
  <c r="AU103" i="21"/>
  <c r="AV103" i="21"/>
  <c r="AW103" i="21"/>
  <c r="AX103" i="21"/>
  <c r="AY102" i="21"/>
  <c r="AS102" i="21"/>
  <c r="AU102" i="21"/>
  <c r="AV102" i="21"/>
  <c r="AW102" i="21"/>
  <c r="AX102" i="21"/>
  <c r="AY101" i="21"/>
  <c r="AS101" i="21"/>
  <c r="AU101" i="21"/>
  <c r="AV101" i="21"/>
  <c r="AW101" i="21"/>
  <c r="AX101" i="21"/>
  <c r="AY100" i="21"/>
  <c r="AS100" i="21"/>
  <c r="AU100" i="21"/>
  <c r="AV100" i="21"/>
  <c r="AW100" i="21"/>
  <c r="AX100" i="21"/>
  <c r="AY99" i="21"/>
  <c r="AS99" i="21"/>
  <c r="AU99" i="21"/>
  <c r="AV99" i="21"/>
  <c r="AW99" i="21"/>
  <c r="AX99" i="21"/>
  <c r="AY98" i="21"/>
  <c r="AS98" i="21"/>
  <c r="AU98" i="21"/>
  <c r="AV98" i="21"/>
  <c r="AW98" i="21"/>
  <c r="AX98" i="21"/>
  <c r="AY97" i="21"/>
  <c r="AS97" i="21"/>
  <c r="AU97" i="21"/>
  <c r="AV97" i="21"/>
  <c r="AW97" i="21"/>
  <c r="AX97" i="21"/>
  <c r="AY96" i="21"/>
  <c r="AS96" i="21"/>
  <c r="AU96" i="21"/>
  <c r="AV96" i="21"/>
  <c r="AW96" i="21"/>
  <c r="AX96" i="21"/>
  <c r="AY95" i="21"/>
  <c r="AS95" i="21"/>
  <c r="AU95" i="21"/>
  <c r="AV95" i="21"/>
  <c r="AW95" i="21"/>
  <c r="AX95" i="21"/>
  <c r="AY94" i="21"/>
  <c r="AS94" i="21"/>
  <c r="AU94" i="21"/>
  <c r="AV94" i="21"/>
  <c r="AW94" i="21"/>
  <c r="AX94" i="21"/>
  <c r="AY93" i="21"/>
  <c r="AS93" i="21"/>
  <c r="AU93" i="21"/>
  <c r="AV93" i="21"/>
  <c r="AW93" i="21"/>
  <c r="AX93" i="21"/>
  <c r="AY92" i="21"/>
  <c r="AS92" i="21"/>
  <c r="AU92" i="21"/>
  <c r="AV92" i="21"/>
  <c r="AW92" i="21"/>
  <c r="AX92" i="21"/>
  <c r="AY91" i="21"/>
  <c r="AS91" i="21"/>
  <c r="AU91" i="21"/>
  <c r="AV91" i="21"/>
  <c r="AW91" i="21"/>
  <c r="AX91" i="21"/>
  <c r="AY90" i="21"/>
  <c r="AS90" i="21"/>
  <c r="AU90" i="21"/>
  <c r="AV90" i="21"/>
  <c r="AW90" i="21"/>
  <c r="AX90" i="21"/>
  <c r="AY89" i="21"/>
  <c r="AS89" i="21"/>
  <c r="AU89" i="21"/>
  <c r="AV89" i="21"/>
  <c r="AW89" i="21"/>
  <c r="AX89" i="21"/>
  <c r="AY88" i="21"/>
  <c r="AS88" i="21"/>
  <c r="AU88" i="21"/>
  <c r="AV88" i="21"/>
  <c r="AW88" i="21"/>
  <c r="AX88" i="21"/>
  <c r="AY87" i="21"/>
  <c r="AS87" i="21"/>
  <c r="AU87" i="21"/>
  <c r="AV87" i="21"/>
  <c r="AW87" i="21"/>
  <c r="AX87" i="21"/>
  <c r="AY86" i="21"/>
  <c r="AS86" i="21"/>
  <c r="AU86" i="21"/>
  <c r="AV86" i="21"/>
  <c r="AW86" i="21"/>
  <c r="AX86" i="21"/>
  <c r="AY85" i="21"/>
  <c r="AS85" i="21"/>
  <c r="AU85" i="21"/>
  <c r="AV85" i="21"/>
  <c r="AW85" i="21"/>
  <c r="AX85" i="21"/>
  <c r="AY84" i="21"/>
  <c r="AS84" i="21"/>
  <c r="AU84" i="21"/>
  <c r="AV84" i="21"/>
  <c r="AW84" i="21"/>
  <c r="AX84" i="21"/>
  <c r="AY83" i="21"/>
  <c r="AS83" i="21"/>
  <c r="AU83" i="21"/>
  <c r="AV83" i="21"/>
  <c r="AW83" i="21"/>
  <c r="AX83" i="21"/>
  <c r="AY82" i="21"/>
  <c r="AS82" i="21"/>
  <c r="AU82" i="21"/>
  <c r="AV82" i="21"/>
  <c r="AW82" i="21"/>
  <c r="AX82" i="21"/>
  <c r="AY81" i="21"/>
  <c r="AS81" i="21"/>
  <c r="AU81" i="21"/>
  <c r="AV81" i="21"/>
  <c r="AW81" i="21"/>
  <c r="AX81" i="21"/>
  <c r="AY80" i="21"/>
  <c r="AS80" i="21"/>
  <c r="AU80" i="21"/>
  <c r="AV80" i="21"/>
  <c r="AW80" i="21"/>
  <c r="AX80" i="21"/>
  <c r="AY79" i="21"/>
  <c r="AS79" i="21"/>
  <c r="AU79" i="21"/>
  <c r="AV79" i="21"/>
  <c r="AW79" i="21"/>
  <c r="AX79" i="21"/>
  <c r="AY78" i="21"/>
  <c r="AS78" i="21"/>
  <c r="AU78" i="21"/>
  <c r="AV78" i="21"/>
  <c r="AW78" i="21"/>
  <c r="AX78" i="21"/>
  <c r="AY77" i="21"/>
  <c r="AS77" i="21"/>
  <c r="AU77" i="21"/>
  <c r="AV77" i="21"/>
  <c r="AW77" i="21"/>
  <c r="AX77" i="21"/>
  <c r="AY76" i="21"/>
  <c r="AS76" i="21"/>
  <c r="AU76" i="21"/>
  <c r="AV76" i="21"/>
  <c r="AW76" i="21"/>
  <c r="AX76" i="21"/>
  <c r="AY75" i="21"/>
  <c r="AS75" i="21"/>
  <c r="AU75" i="21"/>
  <c r="AV75" i="21"/>
  <c r="AW75" i="21"/>
  <c r="AX75" i="21"/>
  <c r="AY74" i="21"/>
  <c r="AS74" i="21"/>
  <c r="AU74" i="21"/>
  <c r="AV74" i="21"/>
  <c r="AW74" i="21"/>
  <c r="AX74" i="21"/>
  <c r="AY73" i="21"/>
  <c r="AS73" i="21"/>
  <c r="AU73" i="21"/>
  <c r="AV73" i="21"/>
  <c r="AW73" i="21"/>
  <c r="AX73" i="21"/>
  <c r="AY72" i="21"/>
  <c r="AS72" i="21"/>
  <c r="AU72" i="21"/>
  <c r="AV72" i="21"/>
  <c r="AW72" i="21"/>
  <c r="AX72" i="21"/>
  <c r="AY71" i="21"/>
  <c r="AS71" i="21"/>
  <c r="AU71" i="21"/>
  <c r="AV71" i="21"/>
  <c r="AW71" i="21"/>
  <c r="AX71" i="21"/>
  <c r="AY70" i="21"/>
  <c r="AS70" i="21"/>
  <c r="AU70" i="21"/>
  <c r="AV70" i="21"/>
  <c r="AW70" i="21"/>
  <c r="AX70" i="21"/>
  <c r="AY69" i="21"/>
  <c r="AS69" i="21"/>
  <c r="AU69" i="21"/>
  <c r="AV69" i="21"/>
  <c r="AW69" i="21"/>
  <c r="AX69" i="21"/>
  <c r="AY68" i="21"/>
  <c r="AS68" i="21"/>
  <c r="AU68" i="21"/>
  <c r="AV68" i="21"/>
  <c r="AW68" i="21"/>
  <c r="AX68" i="21"/>
  <c r="AY67" i="21"/>
  <c r="AS67" i="21"/>
  <c r="AU67" i="21"/>
  <c r="AV67" i="21"/>
  <c r="AW67" i="21"/>
  <c r="AX67" i="21"/>
  <c r="AY66" i="21"/>
  <c r="AS66" i="21"/>
  <c r="AU66" i="21"/>
  <c r="AV66" i="21"/>
  <c r="AW66" i="21"/>
  <c r="AX66" i="21"/>
  <c r="AY65" i="21"/>
  <c r="AS65" i="21"/>
  <c r="AU65" i="21"/>
  <c r="AV65" i="21"/>
  <c r="AW65" i="21"/>
  <c r="AX65" i="21"/>
  <c r="AY64" i="21"/>
  <c r="AS64" i="21"/>
  <c r="AU64" i="21"/>
  <c r="AV64" i="21"/>
  <c r="AW64" i="21"/>
  <c r="AX64" i="21"/>
  <c r="AY63" i="21"/>
  <c r="AS63" i="21"/>
  <c r="AU63" i="21"/>
  <c r="AV63" i="21"/>
  <c r="AW63" i="21"/>
  <c r="AX63" i="21"/>
  <c r="AY62" i="21"/>
  <c r="AS62" i="21"/>
  <c r="AU62" i="21"/>
  <c r="AV62" i="21"/>
  <c r="AW62" i="21"/>
  <c r="AX62" i="21"/>
  <c r="AY61" i="21"/>
  <c r="AS61" i="21"/>
  <c r="AU61" i="21"/>
  <c r="AV61" i="21"/>
  <c r="AW61" i="21"/>
  <c r="AX61" i="21"/>
  <c r="AY60" i="21"/>
  <c r="AS60" i="21"/>
  <c r="AU60" i="21"/>
  <c r="AV60" i="21"/>
  <c r="AW60" i="21"/>
  <c r="AX60" i="21"/>
  <c r="AY59" i="21"/>
  <c r="AS59" i="21"/>
  <c r="AU59" i="21"/>
  <c r="AV59" i="21"/>
  <c r="AW59" i="21"/>
  <c r="AX59" i="21"/>
  <c r="AY58" i="21"/>
  <c r="AS58" i="21"/>
  <c r="AU58" i="21"/>
  <c r="AV58" i="21"/>
  <c r="AW58" i="21"/>
  <c r="AX58" i="21"/>
  <c r="AY57" i="21"/>
  <c r="AS57" i="21"/>
  <c r="AU57" i="21"/>
  <c r="AV57" i="21"/>
  <c r="AW57" i="21"/>
  <c r="AX57" i="21"/>
  <c r="AY56" i="21"/>
  <c r="AS56" i="21"/>
  <c r="AU56" i="21"/>
  <c r="AV56" i="21"/>
  <c r="AW56" i="21"/>
  <c r="AX56" i="21"/>
  <c r="AY55" i="21"/>
  <c r="AS55" i="21"/>
  <c r="AU55" i="21"/>
  <c r="AV55" i="21"/>
  <c r="AW55" i="21"/>
  <c r="AX55" i="21"/>
  <c r="AY54" i="21"/>
  <c r="AS54" i="21"/>
  <c r="AU54" i="21"/>
  <c r="AV54" i="21"/>
  <c r="AW54" i="21"/>
  <c r="AX54" i="21"/>
  <c r="AY53" i="21"/>
  <c r="AS53" i="21"/>
  <c r="AU53" i="21"/>
  <c r="AV53" i="21"/>
  <c r="AW53" i="21"/>
  <c r="AX53" i="21"/>
  <c r="AY52" i="21"/>
  <c r="AS52" i="21"/>
  <c r="AU52" i="21"/>
  <c r="AV52" i="21"/>
  <c r="AW52" i="21"/>
  <c r="AX52" i="21"/>
  <c r="AY51" i="21"/>
  <c r="AS51" i="21"/>
  <c r="AU51" i="21"/>
  <c r="AV51" i="21"/>
  <c r="AW51" i="21"/>
  <c r="AX51" i="21"/>
  <c r="AY50" i="21"/>
  <c r="AS50" i="21"/>
  <c r="AU50" i="21"/>
  <c r="AV50" i="21"/>
  <c r="AW50" i="21"/>
  <c r="AX50" i="21"/>
  <c r="AY49" i="21"/>
  <c r="AS49" i="21"/>
  <c r="AU49" i="21"/>
  <c r="AV49" i="21"/>
  <c r="AW49" i="21"/>
  <c r="AX49" i="21"/>
  <c r="AY48" i="21"/>
  <c r="AS48" i="21"/>
  <c r="AU48" i="21"/>
  <c r="AV48" i="21"/>
  <c r="AW48" i="21"/>
  <c r="AX48" i="21"/>
  <c r="AY47" i="21"/>
  <c r="AS47" i="21"/>
  <c r="AU47" i="21"/>
  <c r="AV47" i="21"/>
  <c r="AW47" i="21"/>
  <c r="AX47" i="21"/>
  <c r="AY46" i="21"/>
  <c r="AS46" i="21"/>
  <c r="AU46" i="21"/>
  <c r="AV46" i="21"/>
  <c r="AW46" i="21"/>
  <c r="AX46" i="21"/>
  <c r="AY45" i="21"/>
  <c r="AS45" i="21"/>
  <c r="AU45" i="21"/>
  <c r="AV45" i="21"/>
  <c r="AW45" i="21"/>
  <c r="AX45" i="21"/>
  <c r="AY44" i="21"/>
  <c r="AS44" i="21"/>
  <c r="AU44" i="21"/>
  <c r="AV44" i="21"/>
  <c r="AW44" i="21"/>
  <c r="AX44" i="21"/>
  <c r="AY43" i="21"/>
  <c r="AS43" i="21"/>
  <c r="AU43" i="21"/>
  <c r="AV43" i="21"/>
  <c r="AW43" i="21"/>
  <c r="AX43" i="21"/>
  <c r="AY42" i="21"/>
  <c r="AS42" i="21"/>
  <c r="AU42" i="21"/>
  <c r="AV42" i="21"/>
  <c r="AW42" i="21"/>
  <c r="AX42" i="21"/>
  <c r="AY41" i="21"/>
  <c r="AS41" i="21"/>
  <c r="AU41" i="21"/>
  <c r="AV41" i="21"/>
  <c r="AW41" i="21"/>
  <c r="AX41" i="21"/>
  <c r="AY40" i="21"/>
  <c r="AS40" i="21"/>
  <c r="AU40" i="21"/>
  <c r="AV40" i="21"/>
  <c r="AW40" i="21"/>
  <c r="AX40" i="21"/>
  <c r="AY39" i="21"/>
  <c r="AS39" i="21"/>
  <c r="AU39" i="21"/>
  <c r="AV39" i="21"/>
  <c r="AW39" i="21"/>
  <c r="AX39" i="21"/>
  <c r="AY38" i="21"/>
  <c r="AS38" i="21"/>
  <c r="AU38" i="21"/>
  <c r="AV38" i="21"/>
  <c r="AW38" i="21"/>
  <c r="AX38" i="21"/>
  <c r="AY37" i="21"/>
  <c r="AS37" i="21"/>
  <c r="AU37" i="21"/>
  <c r="AV37" i="21"/>
  <c r="AW37" i="21"/>
  <c r="AX37" i="21"/>
  <c r="AY36" i="21"/>
  <c r="AS36" i="21"/>
  <c r="AU36" i="21"/>
  <c r="AV36" i="21"/>
  <c r="AW36" i="21"/>
  <c r="AX36" i="21"/>
  <c r="U36" i="21"/>
  <c r="AY35" i="21"/>
  <c r="AS35" i="21"/>
  <c r="AU35" i="21"/>
  <c r="AV35" i="21"/>
  <c r="AW35" i="21"/>
  <c r="AX35" i="21"/>
  <c r="AY34" i="21"/>
  <c r="AS34" i="21"/>
  <c r="AU34" i="21"/>
  <c r="AV34" i="21"/>
  <c r="AW34" i="21"/>
  <c r="AX34" i="21"/>
  <c r="AY33" i="21"/>
  <c r="AS33" i="21"/>
  <c r="AU33" i="21"/>
  <c r="AV33" i="21"/>
  <c r="AW33" i="21"/>
  <c r="AX33" i="21"/>
  <c r="S16" i="21"/>
  <c r="V16" i="21"/>
  <c r="I33" i="21"/>
  <c r="S15" i="21"/>
  <c r="T15" i="21"/>
  <c r="V15" i="21"/>
  <c r="I32" i="21"/>
  <c r="R6" i="21"/>
  <c r="S6" i="21"/>
  <c r="T6" i="21"/>
  <c r="S11" i="21"/>
  <c r="T11" i="21"/>
  <c r="W27" i="21"/>
  <c r="R5" i="21"/>
  <c r="S5" i="21"/>
  <c r="T5" i="21"/>
  <c r="W23" i="21"/>
  <c r="W31" i="21"/>
  <c r="T14" i="21"/>
  <c r="V14" i="21"/>
  <c r="I31" i="21"/>
  <c r="AY30" i="21"/>
  <c r="AS30" i="21"/>
  <c r="AU30" i="21"/>
  <c r="AV30" i="21"/>
  <c r="AW30" i="21"/>
  <c r="AX30" i="21"/>
  <c r="V5" i="21"/>
  <c r="S10" i="21"/>
  <c r="T10" i="21"/>
  <c r="W25" i="21"/>
  <c r="W30" i="21"/>
  <c r="AY29" i="21"/>
  <c r="AS29" i="21"/>
  <c r="AU29" i="21"/>
  <c r="AV29" i="21"/>
  <c r="AW29" i="21"/>
  <c r="AX29" i="21"/>
  <c r="W24" i="21"/>
  <c r="W29" i="21"/>
  <c r="I23" i="21"/>
  <c r="AS4" i="21"/>
  <c r="AT4" i="21"/>
  <c r="AS5" i="21"/>
  <c r="AU5" i="21"/>
  <c r="AV5" i="21"/>
  <c r="AW5" i="21"/>
  <c r="AX5" i="21"/>
  <c r="AY5" i="21"/>
  <c r="AS6" i="21"/>
  <c r="AU6" i="21"/>
  <c r="AV6" i="21"/>
  <c r="AW6" i="21"/>
  <c r="AX6" i="21"/>
  <c r="AY6" i="21"/>
  <c r="AS7" i="21"/>
  <c r="AU7" i="21"/>
  <c r="AV7" i="21"/>
  <c r="AW7" i="21"/>
  <c r="AX7" i="21"/>
  <c r="AY7" i="21"/>
  <c r="AS8" i="21"/>
  <c r="AU8" i="21"/>
  <c r="AV8" i="21"/>
  <c r="AW8" i="21"/>
  <c r="AX8" i="21"/>
  <c r="AY8" i="21"/>
  <c r="AS9" i="21"/>
  <c r="AU9" i="21"/>
  <c r="AV9" i="21"/>
  <c r="AW9" i="21"/>
  <c r="AX9" i="21"/>
  <c r="AY9" i="21"/>
  <c r="AS10" i="21"/>
  <c r="AU10" i="21"/>
  <c r="AV10" i="21"/>
  <c r="AW10" i="21"/>
  <c r="AX10" i="21"/>
  <c r="AY10" i="21"/>
  <c r="AS11" i="21"/>
  <c r="AU11" i="21"/>
  <c r="AV11" i="21"/>
  <c r="AW11" i="21"/>
  <c r="AX11" i="21"/>
  <c r="AY11" i="21"/>
  <c r="AS12" i="21"/>
  <c r="AU12" i="21"/>
  <c r="AV12" i="21"/>
  <c r="AW12" i="21"/>
  <c r="AX12" i="21"/>
  <c r="AY12" i="21"/>
  <c r="AS13" i="21"/>
  <c r="AU13" i="21"/>
  <c r="AV13" i="21"/>
  <c r="AW13" i="21"/>
  <c r="AX13" i="21"/>
  <c r="AY13" i="21"/>
  <c r="AS14" i="21"/>
  <c r="AU14" i="21"/>
  <c r="AV14" i="21"/>
  <c r="AW14" i="21"/>
  <c r="AX14" i="21"/>
  <c r="AY14" i="21"/>
  <c r="AS15" i="21"/>
  <c r="AU15" i="21"/>
  <c r="AV15" i="21"/>
  <c r="AW15" i="21"/>
  <c r="AX15" i="21"/>
  <c r="AY15" i="21"/>
  <c r="AS16" i="21"/>
  <c r="AU16" i="21"/>
  <c r="AV16" i="21"/>
  <c r="AW16" i="21"/>
  <c r="AX16" i="21"/>
  <c r="AY16" i="21"/>
  <c r="AS17" i="21"/>
  <c r="AU17" i="21"/>
  <c r="AV17" i="21"/>
  <c r="AW17" i="21"/>
  <c r="AX17" i="21"/>
  <c r="AY17" i="21"/>
  <c r="AS18" i="21"/>
  <c r="AU18" i="21"/>
  <c r="AV18" i="21"/>
  <c r="AW18" i="21"/>
  <c r="AX18" i="21"/>
  <c r="AY18" i="21"/>
  <c r="AS19" i="21"/>
  <c r="AU19" i="21"/>
  <c r="AV19" i="21"/>
  <c r="AW19" i="21"/>
  <c r="AX19" i="21"/>
  <c r="AY19" i="21"/>
  <c r="AY20" i="21"/>
  <c r="AY21" i="21"/>
  <c r="AY22" i="21"/>
  <c r="AY23" i="21"/>
  <c r="AY24" i="21"/>
  <c r="AY25" i="21"/>
  <c r="AY26" i="21"/>
  <c r="AY27" i="21"/>
  <c r="AY28" i="21"/>
  <c r="AZ5" i="21"/>
  <c r="R19" i="21"/>
  <c r="AW4" i="21"/>
  <c r="AX4" i="21"/>
  <c r="AY4" i="21"/>
  <c r="S19" i="21"/>
  <c r="T19" i="21"/>
  <c r="V19" i="21"/>
  <c r="I24" i="21"/>
  <c r="G29" i="21"/>
  <c r="AS28" i="21"/>
  <c r="AU28" i="21"/>
  <c r="AV28" i="21"/>
  <c r="AW28" i="21"/>
  <c r="AX28" i="21"/>
  <c r="I22" i="21"/>
  <c r="G28" i="21"/>
  <c r="AS27" i="21"/>
  <c r="AU27" i="21"/>
  <c r="AV27" i="21"/>
  <c r="AW27" i="21"/>
  <c r="AX27" i="21"/>
  <c r="I21" i="21"/>
  <c r="G27" i="21"/>
  <c r="AS26" i="21"/>
  <c r="AU26" i="21"/>
  <c r="AV26" i="21"/>
  <c r="AW26" i="21"/>
  <c r="AX26" i="21"/>
  <c r="W26" i="21"/>
  <c r="AS25" i="21"/>
  <c r="AU25" i="21"/>
  <c r="AV25" i="21"/>
  <c r="AW25" i="21"/>
  <c r="AX25" i="21"/>
  <c r="S25" i="21"/>
  <c r="I25" i="21"/>
  <c r="AS24" i="21"/>
  <c r="AU24" i="21"/>
  <c r="AV24" i="21"/>
  <c r="AW24" i="21"/>
  <c r="AX24" i="21"/>
  <c r="S24" i="21"/>
  <c r="AS23" i="21"/>
  <c r="AU23" i="21"/>
  <c r="AV23" i="21"/>
  <c r="AW23" i="21"/>
  <c r="AX23" i="21"/>
  <c r="S23" i="21"/>
  <c r="AS22" i="21"/>
  <c r="AU22" i="21"/>
  <c r="AV22" i="21"/>
  <c r="AW22" i="21"/>
  <c r="AX22" i="21"/>
  <c r="AS21" i="21"/>
  <c r="AU21" i="21"/>
  <c r="AV21" i="21"/>
  <c r="AW21" i="21"/>
  <c r="AX21" i="21"/>
  <c r="AS20" i="21"/>
  <c r="AU20" i="21"/>
  <c r="AV20" i="21"/>
  <c r="AW20" i="21"/>
  <c r="AX20" i="21"/>
  <c r="W16" i="21"/>
  <c r="W15" i="21"/>
  <c r="W14" i="21"/>
  <c r="BA5" i="21"/>
  <c r="R6" i="14"/>
  <c r="S6" i="14"/>
  <c r="T6" i="14"/>
  <c r="S11" i="14"/>
  <c r="T11" i="14"/>
  <c r="S16" i="14"/>
  <c r="V16" i="14"/>
  <c r="W16" i="14"/>
  <c r="C84" i="2"/>
  <c r="S10" i="14"/>
  <c r="T10" i="14"/>
  <c r="I22" i="14"/>
  <c r="I23" i="14"/>
  <c r="AS4" i="14"/>
  <c r="AT4" i="14"/>
  <c r="AS5" i="14"/>
  <c r="AU5" i="14"/>
  <c r="AR5" i="14"/>
  <c r="AR6" i="14"/>
  <c r="AV5" i="14"/>
  <c r="AW5" i="14"/>
  <c r="AX5" i="14"/>
  <c r="AY5" i="14"/>
  <c r="AS6" i="14"/>
  <c r="AU6" i="14"/>
  <c r="AR7" i="14"/>
  <c r="AV6" i="14"/>
  <c r="AW6" i="14"/>
  <c r="AX6" i="14"/>
  <c r="AY6" i="14"/>
  <c r="AS7" i="14"/>
  <c r="AU7" i="14"/>
  <c r="AR8" i="14"/>
  <c r="AV7" i="14"/>
  <c r="AW7" i="14"/>
  <c r="AX7" i="14"/>
  <c r="AY7" i="14"/>
  <c r="AS8" i="14"/>
  <c r="AU8" i="14"/>
  <c r="AR9" i="14"/>
  <c r="AV8" i="14"/>
  <c r="AW8" i="14"/>
  <c r="AX8" i="14"/>
  <c r="AY8" i="14"/>
  <c r="AS9" i="14"/>
  <c r="AU9" i="14"/>
  <c r="AR10" i="14"/>
  <c r="AV9" i="14"/>
  <c r="AW9" i="14"/>
  <c r="AX9" i="14"/>
  <c r="AY9" i="14"/>
  <c r="AS10" i="14"/>
  <c r="AU10" i="14"/>
  <c r="AR11" i="14"/>
  <c r="AV10" i="14"/>
  <c r="AW10" i="14"/>
  <c r="AX10" i="14"/>
  <c r="AY10" i="14"/>
  <c r="AS11" i="14"/>
  <c r="AU11" i="14"/>
  <c r="AR12" i="14"/>
  <c r="AV11" i="14"/>
  <c r="AW11" i="14"/>
  <c r="AX11" i="14"/>
  <c r="AY11" i="14"/>
  <c r="AS12" i="14"/>
  <c r="AU12" i="14"/>
  <c r="AR13" i="14"/>
  <c r="AV12" i="14"/>
  <c r="AW12" i="14"/>
  <c r="AX12" i="14"/>
  <c r="AY12" i="14"/>
  <c r="AS13" i="14"/>
  <c r="AU13" i="14"/>
  <c r="AR14" i="14"/>
  <c r="AV13" i="14"/>
  <c r="AW13" i="14"/>
  <c r="AX13" i="14"/>
  <c r="AY13" i="14"/>
  <c r="AS14" i="14"/>
  <c r="AU14" i="14"/>
  <c r="AR15" i="14"/>
  <c r="AV14" i="14"/>
  <c r="AW14" i="14"/>
  <c r="AX14" i="14"/>
  <c r="AY14" i="14"/>
  <c r="AS15" i="14"/>
  <c r="AU15" i="14"/>
  <c r="AR16" i="14"/>
  <c r="AV15" i="14"/>
  <c r="AW15" i="14"/>
  <c r="AX15" i="14"/>
  <c r="AY15" i="14"/>
  <c r="AS16" i="14"/>
  <c r="AU16" i="14"/>
  <c r="AR17" i="14"/>
  <c r="AV16" i="14"/>
  <c r="AW16" i="14"/>
  <c r="AX16" i="14"/>
  <c r="AY16" i="14"/>
  <c r="AS17" i="14"/>
  <c r="AU17" i="14"/>
  <c r="AR18" i="14"/>
  <c r="AV17" i="14"/>
  <c r="AW17" i="14"/>
  <c r="AX17" i="14"/>
  <c r="AY17" i="14"/>
  <c r="AS18" i="14"/>
  <c r="AU18" i="14"/>
  <c r="AR19" i="14"/>
  <c r="AV18" i="14"/>
  <c r="AW18" i="14"/>
  <c r="AX18" i="14"/>
  <c r="AY18" i="14"/>
  <c r="AS19" i="14"/>
  <c r="AU19" i="14"/>
  <c r="AV19" i="14"/>
  <c r="AR20" i="14"/>
  <c r="AW19" i="14"/>
  <c r="AX19" i="14"/>
  <c r="AY19" i="14"/>
  <c r="AR21" i="14"/>
  <c r="AS20" i="14"/>
  <c r="AU20" i="14"/>
  <c r="AV20" i="14"/>
  <c r="AW20" i="14"/>
  <c r="AX20" i="14"/>
  <c r="AY20" i="14"/>
  <c r="AR22" i="14"/>
  <c r="AS21" i="14"/>
  <c r="AU21" i="14"/>
  <c r="AV21" i="14"/>
  <c r="AW21" i="14"/>
  <c r="AX21" i="14"/>
  <c r="AY21" i="14"/>
  <c r="AR23" i="14"/>
  <c r="AS22" i="14"/>
  <c r="AU22" i="14"/>
  <c r="AV22" i="14"/>
  <c r="AW22" i="14"/>
  <c r="AX22" i="14"/>
  <c r="AY22" i="14"/>
  <c r="AR24" i="14"/>
  <c r="AS23" i="14"/>
  <c r="AU23" i="14"/>
  <c r="AV23" i="14"/>
  <c r="AW23" i="14"/>
  <c r="AX23" i="14"/>
  <c r="AY23" i="14"/>
  <c r="AR25" i="14"/>
  <c r="AS24" i="14"/>
  <c r="AU24" i="14"/>
  <c r="AV24" i="14"/>
  <c r="AW24" i="14"/>
  <c r="AX24" i="14"/>
  <c r="AY24" i="14"/>
  <c r="AY25" i="14"/>
  <c r="AR26" i="14"/>
  <c r="AY26" i="14"/>
  <c r="AR27" i="14"/>
  <c r="AY27" i="14"/>
  <c r="AR28" i="14"/>
  <c r="AY28" i="14"/>
  <c r="AR29" i="14"/>
  <c r="AY29" i="14"/>
  <c r="AR30" i="14"/>
  <c r="AY30" i="14"/>
  <c r="AR33" i="14"/>
  <c r="AY33" i="14"/>
  <c r="AR34" i="14"/>
  <c r="AY34" i="14"/>
  <c r="AR35" i="14"/>
  <c r="AY35" i="14"/>
  <c r="AR36" i="14"/>
  <c r="AY36" i="14"/>
  <c r="AR37" i="14"/>
  <c r="AY37" i="14"/>
  <c r="AR38" i="14"/>
  <c r="AY38" i="14"/>
  <c r="AR39" i="14"/>
  <c r="AY39" i="14"/>
  <c r="AR40" i="14"/>
  <c r="AY40" i="14"/>
  <c r="AR41" i="14"/>
  <c r="AY41" i="14"/>
  <c r="AR42" i="14"/>
  <c r="AY42" i="14"/>
  <c r="AR43" i="14"/>
  <c r="AY43" i="14"/>
  <c r="AR44" i="14"/>
  <c r="AY44" i="14"/>
  <c r="AR45" i="14"/>
  <c r="AY45" i="14"/>
  <c r="AR46" i="14"/>
  <c r="AY46" i="14"/>
  <c r="AR47" i="14"/>
  <c r="AY47" i="14"/>
  <c r="AR48" i="14"/>
  <c r="AY48" i="14"/>
  <c r="AR49" i="14"/>
  <c r="AY49" i="14"/>
  <c r="AR50" i="14"/>
  <c r="AY50" i="14"/>
  <c r="AR51" i="14"/>
  <c r="AY51" i="14"/>
  <c r="AR52" i="14"/>
  <c r="AY52" i="14"/>
  <c r="AR53" i="14"/>
  <c r="AY53" i="14"/>
  <c r="AR54" i="14"/>
  <c r="AY54" i="14"/>
  <c r="AR55" i="14"/>
  <c r="AY55" i="14"/>
  <c r="AR56" i="14"/>
  <c r="AY56" i="14"/>
  <c r="AR57" i="14"/>
  <c r="AY57" i="14"/>
  <c r="AR58" i="14"/>
  <c r="AY58" i="14"/>
  <c r="AR59" i="14"/>
  <c r="AY59" i="14"/>
  <c r="AR60" i="14"/>
  <c r="AY60" i="14"/>
  <c r="AR61" i="14"/>
  <c r="AY61" i="14"/>
  <c r="AR62" i="14"/>
  <c r="AY62" i="14"/>
  <c r="AR63" i="14"/>
  <c r="AY63" i="14"/>
  <c r="AR64" i="14"/>
  <c r="AY64" i="14"/>
  <c r="AR65" i="14"/>
  <c r="AY65" i="14"/>
  <c r="AR66" i="14"/>
  <c r="AY66" i="14"/>
  <c r="AR67" i="14"/>
  <c r="AY67" i="14"/>
  <c r="AR68" i="14"/>
  <c r="AY68" i="14"/>
  <c r="AR69" i="14"/>
  <c r="AY69" i="14"/>
  <c r="AR70" i="14"/>
  <c r="AY70" i="14"/>
  <c r="AR71" i="14"/>
  <c r="AY71" i="14"/>
  <c r="AR72" i="14"/>
  <c r="AY72" i="14"/>
  <c r="AR73" i="14"/>
  <c r="AY73" i="14"/>
  <c r="AR74" i="14"/>
  <c r="AY74" i="14"/>
  <c r="AR75" i="14"/>
  <c r="AY75" i="14"/>
  <c r="AR76" i="14"/>
  <c r="AY76" i="14"/>
  <c r="AR77" i="14"/>
  <c r="AY77" i="14"/>
  <c r="AR78" i="14"/>
  <c r="AY78" i="14"/>
  <c r="AR79" i="14"/>
  <c r="AY79" i="14"/>
  <c r="AR80" i="14"/>
  <c r="AY80" i="14"/>
  <c r="AR81" i="14"/>
  <c r="AY81" i="14"/>
  <c r="AR82" i="14"/>
  <c r="AY82" i="14"/>
  <c r="AR83" i="14"/>
  <c r="AY83" i="14"/>
  <c r="AR84" i="14"/>
  <c r="AY84" i="14"/>
  <c r="AR85" i="14"/>
  <c r="AY85" i="14"/>
  <c r="AR86" i="14"/>
  <c r="AY86" i="14"/>
  <c r="AR87" i="14"/>
  <c r="AY87" i="14"/>
  <c r="AR88" i="14"/>
  <c r="AY88" i="14"/>
  <c r="AR89" i="14"/>
  <c r="AY89" i="14"/>
  <c r="AR90" i="14"/>
  <c r="AY90" i="14"/>
  <c r="AR91" i="14"/>
  <c r="AY91" i="14"/>
  <c r="AR92" i="14"/>
  <c r="AY92" i="14"/>
  <c r="AR93" i="14"/>
  <c r="AY93" i="14"/>
  <c r="AR94" i="14"/>
  <c r="AY94" i="14"/>
  <c r="AR95" i="14"/>
  <c r="AY95" i="14"/>
  <c r="AR96" i="14"/>
  <c r="AY96" i="14"/>
  <c r="AR97" i="14"/>
  <c r="AY97" i="14"/>
  <c r="AR98" i="14"/>
  <c r="AY98" i="14"/>
  <c r="AR99" i="14"/>
  <c r="AY99" i="14"/>
  <c r="AR100" i="14"/>
  <c r="AY100" i="14"/>
  <c r="AR101" i="14"/>
  <c r="AY101" i="14"/>
  <c r="AR102" i="14"/>
  <c r="AY102" i="14"/>
  <c r="AR103" i="14"/>
  <c r="AY103" i="14"/>
  <c r="AR104" i="14"/>
  <c r="AY104" i="14"/>
  <c r="AR105" i="14"/>
  <c r="AY105" i="14"/>
  <c r="AR106" i="14"/>
  <c r="AY106" i="14"/>
  <c r="AR107" i="14"/>
  <c r="AY107" i="14"/>
  <c r="AR108" i="14"/>
  <c r="AY108" i="14"/>
  <c r="AR109" i="14"/>
  <c r="AY109" i="14"/>
  <c r="AR110" i="14"/>
  <c r="AY110" i="14"/>
  <c r="AR111" i="14"/>
  <c r="AY111" i="14"/>
  <c r="AR112" i="14"/>
  <c r="AY112" i="14"/>
  <c r="AR113" i="14"/>
  <c r="AY113" i="14"/>
  <c r="AZ5" i="14"/>
  <c r="R19" i="14"/>
  <c r="AW4" i="14"/>
  <c r="AX4" i="14"/>
  <c r="AY4" i="14"/>
  <c r="S19" i="14"/>
  <c r="T19" i="14"/>
  <c r="V19" i="14"/>
  <c r="I24" i="14"/>
  <c r="I25" i="14"/>
  <c r="I21" i="14"/>
  <c r="G27" i="14"/>
  <c r="G28" i="14"/>
  <c r="G29" i="14"/>
  <c r="U36" i="14"/>
  <c r="T14" i="14"/>
  <c r="V14" i="14"/>
  <c r="I31" i="14"/>
  <c r="S15" i="14"/>
  <c r="T15" i="14"/>
  <c r="V15" i="14"/>
  <c r="I32" i="14"/>
  <c r="I33" i="14"/>
  <c r="F11" i="2"/>
  <c r="D55" i="2"/>
  <c r="E54" i="2"/>
  <c r="D21" i="2"/>
  <c r="E21" i="2"/>
  <c r="W27" i="14"/>
  <c r="W23" i="14"/>
  <c r="S25" i="14"/>
  <c r="W25" i="14"/>
  <c r="S24" i="14"/>
  <c r="W31" i="14"/>
  <c r="W30" i="14"/>
  <c r="W26" i="14"/>
  <c r="W24" i="14"/>
  <c r="W15" i="14"/>
  <c r="W14" i="14"/>
  <c r="AS113" i="14"/>
  <c r="AU113" i="14"/>
  <c r="AV113" i="14"/>
  <c r="AW113" i="14"/>
  <c r="AX113" i="14"/>
  <c r="AS112" i="14"/>
  <c r="AU112" i="14"/>
  <c r="AV112" i="14"/>
  <c r="AW112" i="14"/>
  <c r="AX112" i="14"/>
  <c r="AS111" i="14"/>
  <c r="AU111" i="14"/>
  <c r="AV111" i="14"/>
  <c r="AW111" i="14"/>
  <c r="AX111" i="14"/>
  <c r="AS110" i="14"/>
  <c r="AU110" i="14"/>
  <c r="AV110" i="14"/>
  <c r="AW110" i="14"/>
  <c r="AX110" i="14"/>
  <c r="AS109" i="14"/>
  <c r="AU109" i="14"/>
  <c r="AV109" i="14"/>
  <c r="AW109" i="14"/>
  <c r="AX109" i="14"/>
  <c r="AS108" i="14"/>
  <c r="AU108" i="14"/>
  <c r="AV108" i="14"/>
  <c r="AW108" i="14"/>
  <c r="AX108" i="14"/>
  <c r="AS107" i="14"/>
  <c r="AU107" i="14"/>
  <c r="AV107" i="14"/>
  <c r="AW107" i="14"/>
  <c r="AX107" i="14"/>
  <c r="AS106" i="14"/>
  <c r="AU106" i="14"/>
  <c r="AV106" i="14"/>
  <c r="AW106" i="14"/>
  <c r="AX106" i="14"/>
  <c r="AS105" i="14"/>
  <c r="AU105" i="14"/>
  <c r="AV105" i="14"/>
  <c r="AW105" i="14"/>
  <c r="AX105" i="14"/>
  <c r="AS104" i="14"/>
  <c r="AU104" i="14"/>
  <c r="AV104" i="14"/>
  <c r="AW104" i="14"/>
  <c r="AX104" i="14"/>
  <c r="AS103" i="14"/>
  <c r="AU103" i="14"/>
  <c r="AV103" i="14"/>
  <c r="AW103" i="14"/>
  <c r="AX103" i="14"/>
  <c r="AS102" i="14"/>
  <c r="AU102" i="14"/>
  <c r="AV102" i="14"/>
  <c r="AW102" i="14"/>
  <c r="AX102" i="14"/>
  <c r="AS101" i="14"/>
  <c r="AU101" i="14"/>
  <c r="AV101" i="14"/>
  <c r="AW101" i="14"/>
  <c r="AX101" i="14"/>
  <c r="AS100" i="14"/>
  <c r="AU100" i="14"/>
  <c r="AV100" i="14"/>
  <c r="AW100" i="14"/>
  <c r="AX100" i="14"/>
  <c r="AS99" i="14"/>
  <c r="AU99" i="14"/>
  <c r="AV99" i="14"/>
  <c r="AW99" i="14"/>
  <c r="AX99" i="14"/>
  <c r="AS98" i="14"/>
  <c r="AU98" i="14"/>
  <c r="AV98" i="14"/>
  <c r="AW98" i="14"/>
  <c r="AX98" i="14"/>
  <c r="AS97" i="14"/>
  <c r="AU97" i="14"/>
  <c r="AV97" i="14"/>
  <c r="AW97" i="14"/>
  <c r="AX97" i="14"/>
  <c r="AS96" i="14"/>
  <c r="AU96" i="14"/>
  <c r="AV96" i="14"/>
  <c r="AW96" i="14"/>
  <c r="AX96" i="14"/>
  <c r="AS95" i="14"/>
  <c r="AU95" i="14"/>
  <c r="AV95" i="14"/>
  <c r="AW95" i="14"/>
  <c r="AX95" i="14"/>
  <c r="AS94" i="14"/>
  <c r="AU94" i="14"/>
  <c r="AV94" i="14"/>
  <c r="AW94" i="14"/>
  <c r="AX94" i="14"/>
  <c r="AS93" i="14"/>
  <c r="AU93" i="14"/>
  <c r="AV93" i="14"/>
  <c r="AW93" i="14"/>
  <c r="AX93" i="14"/>
  <c r="AS92" i="14"/>
  <c r="AU92" i="14"/>
  <c r="AV92" i="14"/>
  <c r="AW92" i="14"/>
  <c r="AX92" i="14"/>
  <c r="AS91" i="14"/>
  <c r="AU91" i="14"/>
  <c r="AV91" i="14"/>
  <c r="AW91" i="14"/>
  <c r="AX91" i="14"/>
  <c r="AS90" i="14"/>
  <c r="AU90" i="14"/>
  <c r="AV90" i="14"/>
  <c r="AW90" i="14"/>
  <c r="AX90" i="14"/>
  <c r="AS89" i="14"/>
  <c r="AU89" i="14"/>
  <c r="AV89" i="14"/>
  <c r="AW89" i="14"/>
  <c r="AX89" i="14"/>
  <c r="AS88" i="14"/>
  <c r="AU88" i="14"/>
  <c r="AV88" i="14"/>
  <c r="AW88" i="14"/>
  <c r="AX88" i="14"/>
  <c r="AS87" i="14"/>
  <c r="AU87" i="14"/>
  <c r="AV87" i="14"/>
  <c r="AW87" i="14"/>
  <c r="AX87" i="14"/>
  <c r="AS86" i="14"/>
  <c r="AU86" i="14"/>
  <c r="AV86" i="14"/>
  <c r="AW86" i="14"/>
  <c r="AX86" i="14"/>
  <c r="AS85" i="14"/>
  <c r="AU85" i="14"/>
  <c r="AV85" i="14"/>
  <c r="AW85" i="14"/>
  <c r="AX85" i="14"/>
  <c r="AS84" i="14"/>
  <c r="AU84" i="14"/>
  <c r="AV84" i="14"/>
  <c r="AW84" i="14"/>
  <c r="AX84" i="14"/>
  <c r="AS83" i="14"/>
  <c r="AU83" i="14"/>
  <c r="AV83" i="14"/>
  <c r="AW83" i="14"/>
  <c r="AX83" i="14"/>
  <c r="AS82" i="14"/>
  <c r="AU82" i="14"/>
  <c r="AV82" i="14"/>
  <c r="AW82" i="14"/>
  <c r="AX82" i="14"/>
  <c r="AS81" i="14"/>
  <c r="AU81" i="14"/>
  <c r="AV81" i="14"/>
  <c r="AW81" i="14"/>
  <c r="AX81" i="14"/>
  <c r="AS80" i="14"/>
  <c r="AU80" i="14"/>
  <c r="AV80" i="14"/>
  <c r="AW80" i="14"/>
  <c r="AX80" i="14"/>
  <c r="AS79" i="14"/>
  <c r="AU79" i="14"/>
  <c r="AV79" i="14"/>
  <c r="AW79" i="14"/>
  <c r="AX79" i="14"/>
  <c r="AS78" i="14"/>
  <c r="AU78" i="14"/>
  <c r="AV78" i="14"/>
  <c r="AW78" i="14"/>
  <c r="AX78" i="14"/>
  <c r="AS77" i="14"/>
  <c r="AU77" i="14"/>
  <c r="AV77" i="14"/>
  <c r="AW77" i="14"/>
  <c r="AX77" i="14"/>
  <c r="AS76" i="14"/>
  <c r="AU76" i="14"/>
  <c r="AV76" i="14"/>
  <c r="AW76" i="14"/>
  <c r="AX76" i="14"/>
  <c r="AS75" i="14"/>
  <c r="AU75" i="14"/>
  <c r="AV75" i="14"/>
  <c r="AW75" i="14"/>
  <c r="AX75" i="14"/>
  <c r="AS74" i="14"/>
  <c r="AU74" i="14"/>
  <c r="AV74" i="14"/>
  <c r="AW74" i="14"/>
  <c r="AX74" i="14"/>
  <c r="AS73" i="14"/>
  <c r="AU73" i="14"/>
  <c r="AV73" i="14"/>
  <c r="AW73" i="14"/>
  <c r="AX73" i="14"/>
  <c r="AS72" i="14"/>
  <c r="AU72" i="14"/>
  <c r="AV72" i="14"/>
  <c r="AW72" i="14"/>
  <c r="AX72" i="14"/>
  <c r="AS71" i="14"/>
  <c r="AU71" i="14"/>
  <c r="AV71" i="14"/>
  <c r="AW71" i="14"/>
  <c r="AX71" i="14"/>
  <c r="AS70" i="14"/>
  <c r="AU70" i="14"/>
  <c r="AV70" i="14"/>
  <c r="AW70" i="14"/>
  <c r="AX70" i="14"/>
  <c r="AS69" i="14"/>
  <c r="AU69" i="14"/>
  <c r="AV69" i="14"/>
  <c r="AW69" i="14"/>
  <c r="AX69" i="14"/>
  <c r="AS68" i="14"/>
  <c r="AU68" i="14"/>
  <c r="AV68" i="14"/>
  <c r="AW68" i="14"/>
  <c r="AX68" i="14"/>
  <c r="AS67" i="14"/>
  <c r="AU67" i="14"/>
  <c r="AV67" i="14"/>
  <c r="AW67" i="14"/>
  <c r="AX67" i="14"/>
  <c r="AS66" i="14"/>
  <c r="AU66" i="14"/>
  <c r="AV66" i="14"/>
  <c r="AW66" i="14"/>
  <c r="AX66" i="14"/>
  <c r="AS65" i="14"/>
  <c r="AU65" i="14"/>
  <c r="AV65" i="14"/>
  <c r="AW65" i="14"/>
  <c r="AX65" i="14"/>
  <c r="AS64" i="14"/>
  <c r="AU64" i="14"/>
  <c r="AV64" i="14"/>
  <c r="AW64" i="14"/>
  <c r="AX64" i="14"/>
  <c r="AS63" i="14"/>
  <c r="AU63" i="14"/>
  <c r="AV63" i="14"/>
  <c r="AW63" i="14"/>
  <c r="AX63" i="14"/>
  <c r="AS62" i="14"/>
  <c r="AU62" i="14"/>
  <c r="AV62" i="14"/>
  <c r="AW62" i="14"/>
  <c r="AX62" i="14"/>
  <c r="AS61" i="14"/>
  <c r="AU61" i="14"/>
  <c r="AV61" i="14"/>
  <c r="AW61" i="14"/>
  <c r="AX61" i="14"/>
  <c r="AS60" i="14"/>
  <c r="AU60" i="14"/>
  <c r="AV60" i="14"/>
  <c r="AW60" i="14"/>
  <c r="AX60" i="14"/>
  <c r="AS59" i="14"/>
  <c r="AU59" i="14"/>
  <c r="AV59" i="14"/>
  <c r="AW59" i="14"/>
  <c r="AX59" i="14"/>
  <c r="AS58" i="14"/>
  <c r="AU58" i="14"/>
  <c r="AV58" i="14"/>
  <c r="AW58" i="14"/>
  <c r="AX58" i="14"/>
  <c r="AS57" i="14"/>
  <c r="AU57" i="14"/>
  <c r="AV57" i="14"/>
  <c r="AW57" i="14"/>
  <c r="AX57" i="14"/>
  <c r="AS56" i="14"/>
  <c r="AU56" i="14"/>
  <c r="AV56" i="14"/>
  <c r="AW56" i="14"/>
  <c r="AX56" i="14"/>
  <c r="AS55" i="14"/>
  <c r="AU55" i="14"/>
  <c r="AV55" i="14"/>
  <c r="AW55" i="14"/>
  <c r="AX55" i="14"/>
  <c r="AS54" i="14"/>
  <c r="AU54" i="14"/>
  <c r="AV54" i="14"/>
  <c r="AW54" i="14"/>
  <c r="AX54" i="14"/>
  <c r="AS53" i="14"/>
  <c r="AU53" i="14"/>
  <c r="AV53" i="14"/>
  <c r="AW53" i="14"/>
  <c r="AX53" i="14"/>
  <c r="AS52" i="14"/>
  <c r="AU52" i="14"/>
  <c r="AV52" i="14"/>
  <c r="AW52" i="14"/>
  <c r="AX52" i="14"/>
  <c r="AS51" i="14"/>
  <c r="AU51" i="14"/>
  <c r="AV51" i="14"/>
  <c r="AW51" i="14"/>
  <c r="AX51" i="14"/>
  <c r="AS50" i="14"/>
  <c r="AU50" i="14"/>
  <c r="AV50" i="14"/>
  <c r="AW50" i="14"/>
  <c r="AX50" i="14"/>
  <c r="AS49" i="14"/>
  <c r="AU49" i="14"/>
  <c r="AV49" i="14"/>
  <c r="AW49" i="14"/>
  <c r="AX49" i="14"/>
  <c r="AS48" i="14"/>
  <c r="AU48" i="14"/>
  <c r="AV48" i="14"/>
  <c r="AW48" i="14"/>
  <c r="AX48" i="14"/>
  <c r="AS47" i="14"/>
  <c r="AU47" i="14"/>
  <c r="AV47" i="14"/>
  <c r="AW47" i="14"/>
  <c r="AX47" i="14"/>
  <c r="AS46" i="14"/>
  <c r="AU46" i="14"/>
  <c r="AV46" i="14"/>
  <c r="AW46" i="14"/>
  <c r="AX46" i="14"/>
  <c r="AS45" i="14"/>
  <c r="AU45" i="14"/>
  <c r="AV45" i="14"/>
  <c r="AW45" i="14"/>
  <c r="AX45" i="14"/>
  <c r="AS44" i="14"/>
  <c r="AU44" i="14"/>
  <c r="AV44" i="14"/>
  <c r="AW44" i="14"/>
  <c r="AX44" i="14"/>
  <c r="AS43" i="14"/>
  <c r="AU43" i="14"/>
  <c r="AV43" i="14"/>
  <c r="AW43" i="14"/>
  <c r="AX43" i="14"/>
  <c r="AS42" i="14"/>
  <c r="AU42" i="14"/>
  <c r="AV42" i="14"/>
  <c r="AW42" i="14"/>
  <c r="AX42" i="14"/>
  <c r="AS41" i="14"/>
  <c r="AU41" i="14"/>
  <c r="AV41" i="14"/>
  <c r="AW41" i="14"/>
  <c r="AX41" i="14"/>
  <c r="AS40" i="14"/>
  <c r="AU40" i="14"/>
  <c r="AV40" i="14"/>
  <c r="AW40" i="14"/>
  <c r="AX40" i="14"/>
  <c r="AS39" i="14"/>
  <c r="AU39" i="14"/>
  <c r="AV39" i="14"/>
  <c r="AW39" i="14"/>
  <c r="AX39" i="14"/>
  <c r="AS38" i="14"/>
  <c r="AU38" i="14"/>
  <c r="AV38" i="14"/>
  <c r="AW38" i="14"/>
  <c r="AX38" i="14"/>
  <c r="AS37" i="14"/>
  <c r="AU37" i="14"/>
  <c r="AV37" i="14"/>
  <c r="AW37" i="14"/>
  <c r="AX37" i="14"/>
  <c r="AS36" i="14"/>
  <c r="AU36" i="14"/>
  <c r="AV36" i="14"/>
  <c r="AW36" i="14"/>
  <c r="AX36" i="14"/>
  <c r="AS35" i="14"/>
  <c r="AU35" i="14"/>
  <c r="AV35" i="14"/>
  <c r="AW35" i="14"/>
  <c r="AX35" i="14"/>
  <c r="AS34" i="14"/>
  <c r="AU34" i="14"/>
  <c r="AV34" i="14"/>
  <c r="AW34" i="14"/>
  <c r="AX34" i="14"/>
  <c r="AS33" i="14"/>
  <c r="AU33" i="14"/>
  <c r="AV33" i="14"/>
  <c r="AW33" i="14"/>
  <c r="AX33" i="14"/>
  <c r="AS30" i="14"/>
  <c r="AU30" i="14"/>
  <c r="AV30" i="14"/>
  <c r="AW30" i="14"/>
  <c r="AX30" i="14"/>
  <c r="AS29" i="14"/>
  <c r="AU29" i="14"/>
  <c r="AV29" i="14"/>
  <c r="AW29" i="14"/>
  <c r="AX29" i="14"/>
  <c r="AS28" i="14"/>
  <c r="AU28" i="14"/>
  <c r="AV28" i="14"/>
  <c r="AW28" i="14"/>
  <c r="AX28" i="14"/>
  <c r="AS27" i="14"/>
  <c r="AU27" i="14"/>
  <c r="AV27" i="14"/>
  <c r="AW27" i="14"/>
  <c r="AX27" i="14"/>
  <c r="AS26" i="14"/>
  <c r="AU26" i="14"/>
  <c r="AV26" i="14"/>
  <c r="AW26" i="14"/>
  <c r="AX26" i="14"/>
  <c r="W29" i="14"/>
  <c r="AS25" i="14"/>
  <c r="AU25" i="14"/>
  <c r="AV25" i="14"/>
  <c r="AW25" i="14"/>
  <c r="AX25" i="14"/>
  <c r="S23" i="14"/>
  <c r="BA5" i="14"/>
  <c r="C67" i="2"/>
  <c r="C71" i="2"/>
  <c r="C72" i="2"/>
  <c r="C73" i="2"/>
  <c r="C74" i="2"/>
  <c r="D12" i="2"/>
  <c r="C89" i="2"/>
  <c r="C95" i="2"/>
  <c r="D89" i="2"/>
  <c r="D95" i="2"/>
  <c r="G4" i="2"/>
  <c r="E11" i="2"/>
  <c r="C85" i="2"/>
  <c r="C62" i="2"/>
  <c r="D91" i="2"/>
  <c r="C91" i="2"/>
  <c r="C42" i="2"/>
  <c r="C75" i="2"/>
  <c r="D28" i="5"/>
  <c r="H23" i="5"/>
  <c r="L27" i="5"/>
  <c r="P17" i="5"/>
  <c r="P8" i="5"/>
  <c r="F12" i="5"/>
  <c r="D22" i="5"/>
  <c r="H26" i="5"/>
  <c r="O10" i="5"/>
  <c r="F23" i="5"/>
  <c r="J27" i="5"/>
  <c r="N17" i="5"/>
  <c r="N8" i="5"/>
  <c r="F9" i="5"/>
  <c r="K28" i="5"/>
  <c r="Q25" i="5"/>
  <c r="M21" i="5"/>
  <c r="G27" i="5"/>
  <c r="F8" i="5"/>
  <c r="Q6" i="5"/>
  <c r="K21" i="5"/>
  <c r="M12" i="5"/>
  <c r="M25" i="5"/>
  <c r="G6" i="5"/>
  <c r="C26" i="5"/>
  <c r="K20" i="5"/>
  <c r="J29" i="5"/>
  <c r="C10" i="5"/>
  <c r="Q26" i="5"/>
  <c r="I20" i="5"/>
  <c r="D10" i="5"/>
  <c r="J18" i="5"/>
  <c r="I29" i="5"/>
  <c r="M24" i="5"/>
  <c r="Q14" i="5"/>
  <c r="F19" i="5"/>
  <c r="E13" i="5"/>
  <c r="E28" i="5"/>
  <c r="I23" i="5"/>
  <c r="M27" i="5"/>
  <c r="G29" i="5"/>
  <c r="K24" i="5"/>
  <c r="O14" i="5"/>
  <c r="D19" i="5"/>
  <c r="N6" i="5"/>
  <c r="D12" i="5"/>
  <c r="P29" i="5"/>
  <c r="O15" i="5"/>
  <c r="J13" i="5"/>
  <c r="C17" i="5"/>
  <c r="G23" i="5"/>
  <c r="G12" i="5"/>
  <c r="G9" i="5"/>
  <c r="D16" i="5"/>
  <c r="P18" i="5"/>
  <c r="O22" i="5"/>
  <c r="H17" i="5"/>
  <c r="E11" i="5"/>
  <c r="N24" i="5"/>
  <c r="L30" i="5"/>
  <c r="F17" i="5"/>
  <c r="I8" i="5"/>
  <c r="O23" i="5"/>
  <c r="E25" i="5"/>
  <c r="M18" i="5"/>
  <c r="E27" i="5"/>
  <c r="K18" i="5"/>
  <c r="N14" i="5"/>
  <c r="E12" i="5"/>
  <c r="O7" i="5"/>
  <c r="E15" i="5"/>
  <c r="G8" i="5"/>
  <c r="H7" i="5"/>
  <c r="I21" i="5"/>
  <c r="D23" i="5"/>
  <c r="N10" i="5"/>
  <c r="F26" i="5"/>
  <c r="H11" i="5"/>
  <c r="J15" i="5"/>
  <c r="Q23" i="5"/>
  <c r="H15" i="5"/>
  <c r="I30" i="5"/>
  <c r="G21" i="5"/>
  <c r="F16" i="5"/>
  <c r="Q12" i="5"/>
  <c r="O20" i="5"/>
  <c r="M20" i="5"/>
  <c r="J26" i="5"/>
  <c r="J11" i="5"/>
  <c r="D26" i="5"/>
  <c r="G28" i="5"/>
  <c r="L24" i="5"/>
  <c r="E6" i="5"/>
  <c r="G7" i="5"/>
  <c r="M15" i="5"/>
  <c r="I16" i="5"/>
  <c r="P24" i="5"/>
  <c r="D25" i="5"/>
  <c r="K27" i="5"/>
  <c r="M17" i="5"/>
  <c r="C21" i="5"/>
  <c r="E29" i="5"/>
  <c r="I24" i="5"/>
  <c r="M14" i="5"/>
  <c r="Q18" i="5"/>
  <c r="P7" i="5"/>
  <c r="M6" i="5"/>
  <c r="E23" i="5"/>
  <c r="I27" i="5"/>
  <c r="C29" i="5"/>
  <c r="G24" i="5"/>
  <c r="K14" i="5"/>
  <c r="O18" i="5"/>
  <c r="N13" i="5"/>
  <c r="K11" i="5"/>
  <c r="L29" i="5"/>
  <c r="G15" i="5"/>
  <c r="Q7" i="5"/>
  <c r="J16" i="5"/>
  <c r="F6" i="5"/>
  <c r="M9" i="5"/>
  <c r="J8" i="5"/>
  <c r="C15" i="5"/>
  <c r="O17" i="5"/>
  <c r="K10" i="5"/>
  <c r="E14" i="5"/>
  <c r="P13" i="5"/>
  <c r="L22" i="5"/>
  <c r="K29" i="5"/>
  <c r="D15" i="5"/>
  <c r="N11" i="5"/>
  <c r="D29" i="5"/>
  <c r="Q11" i="5"/>
  <c r="J30" i="5"/>
  <c r="N25" i="5"/>
  <c r="C16" i="5"/>
  <c r="G20" i="5"/>
  <c r="J7" i="5"/>
  <c r="F29" i="5"/>
  <c r="J24" i="5"/>
  <c r="G10" i="5"/>
  <c r="H30" i="5"/>
  <c r="L25" i="5"/>
  <c r="P15" i="5"/>
  <c r="E20" i="5"/>
  <c r="K13" i="5"/>
  <c r="L6" i="5"/>
  <c r="Q30" i="5"/>
  <c r="Q17" i="5"/>
  <c r="F11" i="5"/>
  <c r="M19" i="5"/>
  <c r="L16" i="5"/>
  <c r="L14" i="5"/>
  <c r="E19" i="5"/>
  <c r="P20" i="5"/>
  <c r="O13" i="5"/>
  <c r="Q24" i="5"/>
  <c r="J19" i="5"/>
  <c r="I28" i="5"/>
  <c r="P26" i="5"/>
  <c r="N23" i="5"/>
  <c r="H19" i="5"/>
  <c r="H12" i="5"/>
  <c r="H16" i="5"/>
  <c r="P28" i="5"/>
  <c r="P6" i="5"/>
  <c r="N28" i="5"/>
  <c r="N12" i="5"/>
  <c r="Q13" i="5"/>
  <c r="E17" i="5"/>
  <c r="N20" i="5"/>
  <c r="H13" i="5"/>
  <c r="C25" i="5"/>
  <c r="J22" i="5"/>
  <c r="I19" i="5"/>
  <c r="H27" i="5"/>
  <c r="F27" i="5"/>
  <c r="I7" i="5"/>
  <c r="K23" i="5"/>
  <c r="N19" i="5"/>
  <c r="F14" i="5"/>
  <c r="L19" i="5"/>
  <c r="P16" i="5"/>
  <c r="D6" i="5"/>
  <c r="E7" i="5"/>
  <c r="N16" i="5"/>
  <c r="N29" i="5"/>
  <c r="F10" i="5"/>
  <c r="C6" i="5"/>
  <c r="Q10" i="5"/>
  <c r="Q22" i="5"/>
  <c r="E21" i="5"/>
  <c r="E30" i="5"/>
  <c r="Q21" i="5"/>
  <c r="Q19" i="5"/>
  <c r="F25" i="5"/>
  <c r="Q15" i="5"/>
  <c r="G26" i="5"/>
  <c r="N21" i="5"/>
  <c r="F30" i="5"/>
  <c r="J25" i="5"/>
  <c r="N15" i="5"/>
  <c r="C20" i="5"/>
  <c r="F7" i="5"/>
  <c r="Q28" i="5"/>
  <c r="F24" i="5"/>
  <c r="E10" i="5"/>
  <c r="D30" i="5"/>
  <c r="H25" i="5"/>
  <c r="L15" i="5"/>
  <c r="P19" i="5"/>
  <c r="G13" i="5"/>
  <c r="I6" i="5"/>
  <c r="M30" i="5"/>
  <c r="I17" i="5"/>
  <c r="L8" i="5"/>
  <c r="L18" i="5"/>
  <c r="K15" i="5"/>
  <c r="N26" i="5"/>
  <c r="H14" i="5"/>
  <c r="O19" i="5"/>
  <c r="O8" i="5"/>
  <c r="N30" i="5"/>
  <c r="G16" i="5"/>
  <c r="C8" i="5"/>
  <c r="O25" i="5"/>
  <c r="M22" i="5"/>
  <c r="E16" i="5"/>
  <c r="D7" i="5"/>
  <c r="F22" i="5"/>
  <c r="C12" i="5"/>
  <c r="K22" i="5"/>
  <c r="O26" i="5"/>
  <c r="D17" i="5"/>
  <c r="H21" i="5"/>
  <c r="H9" i="5"/>
  <c r="G30" i="5"/>
  <c r="K25" i="5"/>
  <c r="P10" i="5"/>
  <c r="I22" i="5"/>
  <c r="M26" i="5"/>
  <c r="Q16" i="5"/>
  <c r="F21" i="5"/>
  <c r="E8" i="5"/>
  <c r="J10" i="5"/>
  <c r="C23" i="5"/>
  <c r="D20" i="5"/>
  <c r="D24" i="5"/>
  <c r="O6" i="5"/>
  <c r="H20" i="5"/>
  <c r="H18" i="5"/>
  <c r="L13" i="5"/>
  <c r="H8" i="5"/>
  <c r="L28" i="5"/>
  <c r="D27" i="5"/>
  <c r="L21" i="5"/>
  <c r="K30" i="5"/>
  <c r="I10" i="5"/>
  <c r="P25" i="5"/>
  <c r="J21" i="5"/>
  <c r="C28" i="5"/>
  <c r="L20" i="5"/>
  <c r="E24" i="5"/>
  <c r="J6" i="5"/>
  <c r="C24" i="5"/>
  <c r="G11" i="5"/>
  <c r="I15" i="5"/>
  <c r="K7" i="5"/>
  <c r="I25" i="5"/>
  <c r="C22" i="5"/>
  <c r="P30" i="5"/>
  <c r="K12" i="5"/>
  <c r="C9" i="5"/>
  <c r="P21" i="5"/>
  <c r="M8" i="5"/>
  <c r="Q9" i="5"/>
  <c r="Q29" i="5"/>
  <c r="M13" i="5"/>
  <c r="O29" i="5"/>
  <c r="C13" i="5"/>
  <c r="D8" i="5"/>
  <c r="F18" i="5"/>
  <c r="O21" i="5"/>
  <c r="M7" i="5"/>
  <c r="L10" i="5"/>
  <c r="C19" i="5"/>
  <c r="L11" i="5"/>
  <c r="L17" i="5"/>
  <c r="J17" i="5"/>
  <c r="D18" i="5"/>
  <c r="N18" i="5"/>
  <c r="P22" i="5"/>
  <c r="H29" i="5"/>
  <c r="K16" i="5"/>
  <c r="O30" i="5"/>
  <c r="M28" i="5"/>
  <c r="E9" i="5"/>
  <c r="K17" i="5"/>
  <c r="J14" i="5"/>
  <c r="G22" i="5"/>
  <c r="K26" i="5"/>
  <c r="O16" i="5"/>
  <c r="D21" i="5"/>
  <c r="K8" i="5"/>
  <c r="C30" i="5"/>
  <c r="G25" i="5"/>
  <c r="M10" i="5"/>
  <c r="E22" i="5"/>
  <c r="I26" i="5"/>
  <c r="M16" i="5"/>
  <c r="Q20" i="5"/>
  <c r="L7" i="5"/>
  <c r="H10" i="5"/>
  <c r="N22" i="5"/>
  <c r="K19" i="5"/>
  <c r="K6" i="5"/>
  <c r="O9" i="5"/>
  <c r="G19" i="5"/>
  <c r="G17" i="5"/>
  <c r="O12" i="5"/>
  <c r="C7" i="5"/>
  <c r="I12" i="5"/>
  <c r="P23" i="5"/>
  <c r="I18" i="5"/>
  <c r="H6" i="5"/>
  <c r="Q27" i="5"/>
  <c r="O24" i="5"/>
  <c r="G18" i="5"/>
  <c r="C11" i="5"/>
  <c r="D14" i="5"/>
  <c r="H28" i="5"/>
  <c r="L23" i="5"/>
  <c r="P27" i="5"/>
  <c r="E18" i="5"/>
  <c r="P12" i="5"/>
  <c r="J12" i="5"/>
  <c r="H22" i="5"/>
  <c r="L26" i="5"/>
  <c r="F28" i="5"/>
  <c r="J23" i="5"/>
  <c r="N27" i="5"/>
  <c r="C18" i="5"/>
  <c r="N9" i="5"/>
  <c r="J9" i="5"/>
  <c r="O28" i="5"/>
  <c r="C27" i="5"/>
  <c r="Q8" i="5"/>
  <c r="P14" i="5"/>
  <c r="K9" i="5"/>
  <c r="F13" i="5"/>
  <c r="O11" i="5"/>
  <c r="H24" i="5"/>
  <c r="O27" i="5"/>
  <c r="M29" i="5"/>
  <c r="F15" i="5"/>
  <c r="I13" i="5"/>
  <c r="M23" i="5"/>
  <c r="J28" i="5"/>
  <c r="C14" i="5"/>
  <c r="N7" i="5"/>
  <c r="I14" i="5"/>
  <c r="G14" i="5"/>
  <c r="F20" i="5"/>
  <c r="D13" i="5"/>
  <c r="J20" i="5"/>
  <c r="L12" i="5"/>
  <c r="E26" i="5"/>
  <c r="M11" i="5"/>
  <c r="AR8" i="30"/>
  <c r="AU5" i="30"/>
  <c r="AW5" i="30"/>
  <c r="AX5" i="30"/>
  <c r="AY5" i="30"/>
  <c r="AV5" i="30"/>
  <c r="AS6" i="30"/>
  <c r="W23" i="30"/>
  <c r="S9" i="30"/>
  <c r="T9" i="30"/>
  <c r="I31" i="30"/>
  <c r="W14" i="30"/>
  <c r="S10" i="30"/>
  <c r="T10" i="30"/>
  <c r="W25" i="23"/>
  <c r="I22" i="23"/>
  <c r="W15" i="23"/>
  <c r="I32" i="23"/>
  <c r="W25" i="24"/>
  <c r="I22" i="24"/>
  <c r="W15" i="24"/>
  <c r="D11" i="5"/>
  <c r="D9" i="5"/>
  <c r="L9" i="5"/>
  <c r="I22" i="30"/>
  <c r="W25" i="30"/>
  <c r="S25" i="30"/>
  <c r="W31" i="30"/>
  <c r="W24" i="30"/>
  <c r="I21" i="30"/>
  <c r="AV6" i="30"/>
  <c r="AS7" i="30"/>
  <c r="AU6" i="30"/>
  <c r="AW6" i="30"/>
  <c r="AX6" i="30"/>
  <c r="AY6" i="30"/>
  <c r="AR9" i="30"/>
  <c r="W30" i="23"/>
  <c r="S24" i="23"/>
  <c r="G28" i="23"/>
  <c r="G28" i="24"/>
  <c r="W30" i="24"/>
  <c r="S24" i="24"/>
  <c r="P11" i="5"/>
  <c r="I9" i="5"/>
  <c r="P9" i="5"/>
  <c r="I11" i="5"/>
  <c r="AU7" i="30"/>
  <c r="AW7" i="30"/>
  <c r="AX7" i="30"/>
  <c r="AY7" i="30"/>
  <c r="AV7" i="30"/>
  <c r="AS8" i="30"/>
  <c r="AR10" i="30"/>
  <c r="W30" i="30"/>
  <c r="S24" i="30"/>
  <c r="S23" i="30"/>
  <c r="W29" i="30"/>
  <c r="AR11" i="30"/>
  <c r="AU8" i="30"/>
  <c r="AW8" i="30"/>
  <c r="AX8" i="30"/>
  <c r="AY8" i="30"/>
  <c r="AV8" i="30"/>
  <c r="AS9" i="30"/>
  <c r="AR12" i="30"/>
  <c r="AU9" i="30"/>
  <c r="AW9" i="30"/>
  <c r="AX9" i="30"/>
  <c r="AY9" i="30"/>
  <c r="AV9" i="30"/>
  <c r="AS10" i="30"/>
  <c r="AR13" i="30"/>
  <c r="AV10" i="30"/>
  <c r="AS11" i="30"/>
  <c r="AU10" i="30"/>
  <c r="AW10" i="30"/>
  <c r="AX10" i="30"/>
  <c r="AY10" i="30"/>
  <c r="AU11" i="30"/>
  <c r="AW11" i="30"/>
  <c r="AX11" i="30"/>
  <c r="AY11" i="30"/>
  <c r="AV11" i="30"/>
  <c r="AS12" i="30"/>
  <c r="AR14" i="30"/>
  <c r="AR15" i="30"/>
  <c r="AV12" i="30"/>
  <c r="AS13" i="30"/>
  <c r="AU12" i="30"/>
  <c r="AW12" i="30"/>
  <c r="AX12" i="30"/>
  <c r="AY12" i="30"/>
  <c r="AV13" i="30"/>
  <c r="AS14" i="30"/>
  <c r="AU13" i="30"/>
  <c r="AW13" i="30"/>
  <c r="AX13" i="30"/>
  <c r="AY13" i="30"/>
  <c r="AR16" i="30"/>
  <c r="AR17" i="30"/>
  <c r="AV14" i="30"/>
  <c r="AS15" i="30"/>
  <c r="AU14" i="30"/>
  <c r="AW14" i="30"/>
  <c r="AX14" i="30"/>
  <c r="AY14" i="30"/>
  <c r="AR18" i="30"/>
  <c r="AU15" i="30"/>
  <c r="AW15" i="30"/>
  <c r="AX15" i="30"/>
  <c r="AY15" i="30"/>
  <c r="AV15" i="30"/>
  <c r="AS16" i="30"/>
  <c r="AR19" i="30"/>
  <c r="AV16" i="30"/>
  <c r="AS17" i="30"/>
  <c r="AU16" i="30"/>
  <c r="AW16" i="30"/>
  <c r="AX16" i="30"/>
  <c r="AY16" i="30"/>
  <c r="AR20" i="30"/>
  <c r="AV17" i="30"/>
  <c r="AS18" i="30"/>
  <c r="AU17" i="30"/>
  <c r="AW17" i="30"/>
  <c r="AX17" i="30"/>
  <c r="AY17" i="30"/>
  <c r="AU18" i="30"/>
  <c r="AW18" i="30"/>
  <c r="AX18" i="30"/>
  <c r="AY18" i="30"/>
  <c r="AV18" i="30"/>
  <c r="AS19" i="30"/>
  <c r="AR21" i="30"/>
  <c r="AY20" i="30"/>
  <c r="AS20" i="30"/>
  <c r="AR22" i="30"/>
  <c r="AS21" i="30"/>
  <c r="AY21" i="30"/>
  <c r="AV19" i="30"/>
  <c r="AU19" i="30"/>
  <c r="AV20" i="30"/>
  <c r="AU20" i="30"/>
  <c r="AW20" i="30"/>
  <c r="AX20" i="30"/>
  <c r="AU21" i="30"/>
  <c r="AV21" i="30"/>
  <c r="AW19" i="30"/>
  <c r="AX19" i="30"/>
  <c r="AY19" i="30"/>
  <c r="AW21" i="30"/>
  <c r="AX21" i="30"/>
  <c r="AR23" i="30"/>
  <c r="AS22" i="30"/>
  <c r="AY22" i="30"/>
  <c r="AV22" i="30"/>
  <c r="AU22" i="30"/>
  <c r="AR24" i="30"/>
  <c r="AY23" i="30"/>
  <c r="BA5" i="30"/>
  <c r="AW22" i="30"/>
  <c r="AX22" i="30"/>
  <c r="AS23" i="30"/>
  <c r="AY24" i="30"/>
  <c r="AS24" i="30"/>
  <c r="AR25" i="30"/>
  <c r="AW23" i="30"/>
  <c r="AX23" i="30"/>
  <c r="AU23" i="30"/>
  <c r="AV23" i="30"/>
  <c r="AY25" i="30"/>
  <c r="AS25" i="30"/>
  <c r="AR26" i="30"/>
  <c r="AU24" i="30"/>
  <c r="AW24" i="30"/>
  <c r="AX24" i="30"/>
  <c r="AV24" i="30"/>
  <c r="AY26" i="30"/>
  <c r="AR27" i="30"/>
  <c r="AS26" i="30"/>
  <c r="AU25" i="30"/>
  <c r="AW25" i="30"/>
  <c r="AX25" i="30"/>
  <c r="AV25" i="30"/>
  <c r="AS27" i="30"/>
  <c r="AY27" i="30"/>
  <c r="AR28" i="30"/>
  <c r="AU26" i="30"/>
  <c r="AW26" i="30"/>
  <c r="AX26" i="30"/>
  <c r="AV26" i="30"/>
  <c r="AV27" i="30"/>
  <c r="AU27" i="30"/>
  <c r="AR29" i="30"/>
  <c r="AS28" i="30"/>
  <c r="AW27" i="30"/>
  <c r="AX27" i="30"/>
  <c r="AY28" i="30"/>
  <c r="AV28" i="30"/>
  <c r="AW28" i="30"/>
  <c r="AX28" i="30"/>
  <c r="AU28" i="30"/>
  <c r="AR30" i="30"/>
  <c r="AS29" i="30"/>
  <c r="AY29" i="30"/>
  <c r="AV29" i="30"/>
  <c r="AU29" i="30"/>
  <c r="AW29" i="30"/>
  <c r="AX29" i="30"/>
  <c r="AY30" i="30"/>
  <c r="AR33" i="30"/>
  <c r="AS30" i="30"/>
  <c r="AU30" i="30"/>
  <c r="AV30" i="30"/>
  <c r="AS33" i="30"/>
  <c r="AW30" i="30"/>
  <c r="AX30" i="30"/>
  <c r="AR34" i="30"/>
  <c r="AY33" i="30"/>
  <c r="AU33" i="30"/>
  <c r="AW33" i="30"/>
  <c r="AX33" i="30"/>
  <c r="AV33" i="30"/>
  <c r="AY34" i="30"/>
  <c r="AR35" i="30"/>
  <c r="AS34" i="30"/>
  <c r="AR36" i="30"/>
  <c r="AY35" i="30"/>
  <c r="AS35" i="30"/>
  <c r="AU34" i="30"/>
  <c r="AW34" i="30"/>
  <c r="AX34" i="30"/>
  <c r="AV34" i="30"/>
  <c r="AV35" i="30"/>
  <c r="AU35" i="30"/>
  <c r="AR37" i="30"/>
  <c r="AW35" i="30"/>
  <c r="AX35" i="30"/>
  <c r="AY36" i="30"/>
  <c r="AS36" i="30"/>
  <c r="AR38" i="30"/>
  <c r="AS37" i="30"/>
  <c r="AY37" i="30"/>
  <c r="AV36" i="30"/>
  <c r="AU36" i="30"/>
  <c r="AW36" i="30"/>
  <c r="AX36" i="30"/>
  <c r="AV37" i="30"/>
  <c r="AU37" i="30"/>
  <c r="AS38" i="30"/>
  <c r="AW37" i="30"/>
  <c r="AX37" i="30"/>
  <c r="AR39" i="30"/>
  <c r="AY38" i="30"/>
  <c r="AU38" i="30"/>
  <c r="AV38" i="30"/>
  <c r="AY39" i="30"/>
  <c r="AW38" i="30"/>
  <c r="AX38" i="30"/>
  <c r="AR40" i="30"/>
  <c r="AS39" i="30"/>
  <c r="AU39" i="30"/>
  <c r="AV39" i="30"/>
  <c r="AR41" i="30"/>
  <c r="AW39" i="30"/>
  <c r="AX39" i="30"/>
  <c r="AS40" i="30"/>
  <c r="AY40" i="30"/>
  <c r="AR42" i="30"/>
  <c r="AS41" i="30"/>
  <c r="AY41" i="30"/>
  <c r="AV40" i="30"/>
  <c r="AU40" i="30"/>
  <c r="AW40" i="30"/>
  <c r="AX40" i="30"/>
  <c r="AU41" i="30"/>
  <c r="AV41" i="30"/>
  <c r="AS42" i="30"/>
  <c r="AW41" i="30"/>
  <c r="AX41" i="30"/>
  <c r="AY42" i="30"/>
  <c r="AR43" i="30"/>
  <c r="AV42" i="30"/>
  <c r="AU42" i="30"/>
  <c r="AY43" i="30"/>
  <c r="AW42" i="30"/>
  <c r="AX42" i="30"/>
  <c r="AS43" i="30"/>
  <c r="AR44" i="30"/>
  <c r="AR45" i="30"/>
  <c r="AY44" i="30"/>
  <c r="AS44" i="30"/>
  <c r="AU43" i="30"/>
  <c r="AV43" i="30"/>
  <c r="AW43" i="30"/>
  <c r="AX43" i="30"/>
  <c r="AV44" i="30"/>
  <c r="AU44" i="30"/>
  <c r="AY45" i="30"/>
  <c r="AS45" i="30"/>
  <c r="AR46" i="30"/>
  <c r="AW44" i="30"/>
  <c r="AX44" i="30"/>
  <c r="AV45" i="30"/>
  <c r="AU45" i="30"/>
  <c r="AW45" i="30"/>
  <c r="AX45" i="30"/>
  <c r="AS46" i="30"/>
  <c r="AR47" i="30"/>
  <c r="AY46" i="30"/>
  <c r="AV46" i="30"/>
  <c r="AU46" i="30"/>
  <c r="AY47" i="30"/>
  <c r="AW46" i="30"/>
  <c r="AX46" i="30"/>
  <c r="AR48" i="30"/>
  <c r="AS47" i="30"/>
  <c r="AU47" i="30"/>
  <c r="AV47" i="30"/>
  <c r="AR49" i="30"/>
  <c r="AY48" i="30"/>
  <c r="AS48" i="30"/>
  <c r="AW47" i="30"/>
  <c r="AX47" i="30"/>
  <c r="AS49" i="30"/>
  <c r="AR50" i="30"/>
  <c r="AY49" i="30"/>
  <c r="AV48" i="30"/>
  <c r="AW48" i="30"/>
  <c r="AX48" i="30"/>
  <c r="AU48" i="30"/>
  <c r="AS50" i="30"/>
  <c r="AR51" i="30"/>
  <c r="AY50" i="30"/>
  <c r="AV49" i="30"/>
  <c r="AU49" i="30"/>
  <c r="AW49" i="30"/>
  <c r="AX49" i="30"/>
  <c r="AY51" i="30"/>
  <c r="AR52" i="30"/>
  <c r="AS51" i="30"/>
  <c r="AW50" i="30"/>
  <c r="AX50" i="30"/>
  <c r="AV50" i="30"/>
  <c r="AU50" i="30"/>
  <c r="AU51" i="30"/>
  <c r="AV51" i="30"/>
  <c r="AR53" i="30"/>
  <c r="AS52" i="30"/>
  <c r="AW51" i="30"/>
  <c r="AX51" i="30"/>
  <c r="AY52" i="30"/>
  <c r="AR54" i="30"/>
  <c r="AY53" i="30"/>
  <c r="AS53" i="30"/>
  <c r="AV52" i="30"/>
  <c r="AU52" i="30"/>
  <c r="AW52" i="30"/>
  <c r="AX52" i="30"/>
  <c r="AY54" i="30"/>
  <c r="AS54" i="30"/>
  <c r="AR55" i="30"/>
  <c r="AV53" i="30"/>
  <c r="AU53" i="30"/>
  <c r="AW53" i="30"/>
  <c r="AX53" i="30"/>
  <c r="AR56" i="30"/>
  <c r="AY55" i="30"/>
  <c r="AS55" i="30"/>
  <c r="AU54" i="30"/>
  <c r="AW54" i="30"/>
  <c r="AX54" i="30"/>
  <c r="AV54" i="30"/>
  <c r="AV55" i="30"/>
  <c r="AU55" i="30"/>
  <c r="AW55" i="30"/>
  <c r="AX55" i="30"/>
  <c r="AS56" i="30"/>
  <c r="AR57" i="30"/>
  <c r="AY56" i="30"/>
  <c r="AV56" i="30"/>
  <c r="AU56" i="30"/>
  <c r="AS57" i="30"/>
  <c r="AW56" i="30"/>
  <c r="AX56" i="30"/>
  <c r="AR58" i="30"/>
  <c r="AY57" i="30"/>
  <c r="AV57" i="30"/>
  <c r="AU57" i="30"/>
  <c r="AY58" i="30"/>
  <c r="AR59" i="30"/>
  <c r="AS58" i="30"/>
  <c r="AW57" i="30"/>
  <c r="AX57" i="30"/>
  <c r="AR60" i="30"/>
  <c r="AS59" i="30"/>
  <c r="AY59" i="30"/>
  <c r="AU58" i="30"/>
  <c r="AV58" i="30"/>
  <c r="AW58" i="30"/>
  <c r="AX58" i="30"/>
  <c r="AV59" i="30"/>
  <c r="AW59" i="30"/>
  <c r="AX59" i="30"/>
  <c r="AU59" i="30"/>
  <c r="AR61" i="30"/>
  <c r="AS60" i="30"/>
  <c r="AY60" i="30"/>
  <c r="AS61" i="30"/>
  <c r="AR62" i="30"/>
  <c r="AY61" i="30"/>
  <c r="AV60" i="30"/>
  <c r="AU60" i="30"/>
  <c r="AW60" i="30"/>
  <c r="AX60" i="30"/>
  <c r="AY62" i="30"/>
  <c r="AS62" i="30"/>
  <c r="AR63" i="30"/>
  <c r="AU61" i="30"/>
  <c r="AW61" i="30"/>
  <c r="AX61" i="30"/>
  <c r="AV61" i="30"/>
  <c r="AR64" i="30"/>
  <c r="AS63" i="30"/>
  <c r="AY63" i="30"/>
  <c r="AU62" i="30"/>
  <c r="AW62" i="30"/>
  <c r="AX62" i="30"/>
  <c r="AV62" i="30"/>
  <c r="AV63" i="30"/>
  <c r="AU63" i="30"/>
  <c r="AW63" i="30"/>
  <c r="AX63" i="30"/>
  <c r="AR65" i="30"/>
  <c r="AS64" i="30"/>
  <c r="AY64" i="30"/>
  <c r="AY65" i="30"/>
  <c r="AS65" i="30"/>
  <c r="AR66" i="30"/>
  <c r="AU64" i="30"/>
  <c r="AW64" i="30"/>
  <c r="AX64" i="30"/>
  <c r="AV64" i="30"/>
  <c r="AS66" i="30"/>
  <c r="AR67" i="30"/>
  <c r="AY66" i="30"/>
  <c r="AU65" i="30"/>
  <c r="AW65" i="30"/>
  <c r="AX65" i="30"/>
  <c r="AV65" i="30"/>
  <c r="AY67" i="30"/>
  <c r="AR68" i="30"/>
  <c r="AS67" i="30"/>
  <c r="AV66" i="30"/>
  <c r="AU66" i="30"/>
  <c r="AW66" i="30"/>
  <c r="AX66" i="30"/>
  <c r="AR69" i="30"/>
  <c r="AY68" i="30"/>
  <c r="AS68" i="30"/>
  <c r="AW67" i="30"/>
  <c r="AX67" i="30"/>
  <c r="AU67" i="30"/>
  <c r="AV67" i="30"/>
  <c r="AV68" i="30"/>
  <c r="AU68" i="30"/>
  <c r="AR70" i="30"/>
  <c r="AS69" i="30"/>
  <c r="AY69" i="30"/>
  <c r="AW68" i="30"/>
  <c r="AX68" i="30"/>
  <c r="AS70" i="30"/>
  <c r="AR71" i="30"/>
  <c r="AY70" i="30"/>
  <c r="AV69" i="30"/>
  <c r="AU69" i="30"/>
  <c r="AW69" i="30"/>
  <c r="AX69" i="30"/>
  <c r="AY71" i="30"/>
  <c r="AR72" i="30"/>
  <c r="AS71" i="30"/>
  <c r="AV70" i="30"/>
  <c r="AU70" i="30"/>
  <c r="AW70" i="30"/>
  <c r="AX70" i="30"/>
  <c r="AU71" i="30"/>
  <c r="AV71" i="30"/>
  <c r="AR73" i="30"/>
  <c r="AS72" i="30"/>
  <c r="AY72" i="30"/>
  <c r="AW71" i="30"/>
  <c r="AX71" i="30"/>
  <c r="AV72" i="30"/>
  <c r="AU72" i="30"/>
  <c r="AR74" i="30"/>
  <c r="AS73" i="30"/>
  <c r="AY73" i="30"/>
  <c r="AW72" i="30"/>
  <c r="AX72" i="30"/>
  <c r="AV73" i="30"/>
  <c r="AU73" i="30"/>
  <c r="AS74" i="30"/>
  <c r="AW73" i="30"/>
  <c r="AX73" i="30"/>
  <c r="AR75" i="30"/>
  <c r="AY74" i="30"/>
  <c r="AU74" i="30"/>
  <c r="AV74" i="30"/>
  <c r="AY75" i="30"/>
  <c r="AS75" i="30"/>
  <c r="AR76" i="30"/>
  <c r="AW74" i="30"/>
  <c r="AX74" i="30"/>
  <c r="AU75" i="30"/>
  <c r="AV75" i="30"/>
  <c r="AW75" i="30"/>
  <c r="AX75" i="30"/>
  <c r="AR77" i="30"/>
  <c r="AS76" i="30"/>
  <c r="AY76" i="30"/>
  <c r="AV76" i="30"/>
  <c r="AU76" i="30"/>
  <c r="AR78" i="30"/>
  <c r="AW76" i="30"/>
  <c r="AX76" i="30"/>
  <c r="AS77" i="30"/>
  <c r="AY77" i="30"/>
  <c r="AS78" i="30"/>
  <c r="AY78" i="30"/>
  <c r="AR79" i="30"/>
  <c r="AU77" i="30"/>
  <c r="AW77" i="30"/>
  <c r="AX77" i="30"/>
  <c r="AV77" i="30"/>
  <c r="AY79" i="30"/>
  <c r="AS79" i="30"/>
  <c r="AR80" i="30"/>
  <c r="AU78" i="30"/>
  <c r="AW78" i="30"/>
  <c r="AX78" i="30"/>
  <c r="AV78" i="30"/>
  <c r="AR81" i="30"/>
  <c r="AS80" i="30"/>
  <c r="AY80" i="30"/>
  <c r="AU79" i="30"/>
  <c r="AW79" i="30"/>
  <c r="AX79" i="30"/>
  <c r="AV79" i="30"/>
  <c r="AV80" i="30"/>
  <c r="AW80" i="30"/>
  <c r="AX80" i="30"/>
  <c r="AU80" i="30"/>
  <c r="AY81" i="30"/>
  <c r="AS81" i="30"/>
  <c r="AR82" i="30"/>
  <c r="AU81" i="30"/>
  <c r="AV81" i="30"/>
  <c r="AW81" i="30"/>
  <c r="AX81" i="30"/>
  <c r="AS82" i="30"/>
  <c r="AY82" i="30"/>
  <c r="AR83" i="30"/>
  <c r="AU82" i="30"/>
  <c r="AV82" i="30"/>
  <c r="AY83" i="30"/>
  <c r="AW82" i="30"/>
  <c r="AX82" i="30"/>
  <c r="AS83" i="30"/>
  <c r="AR84" i="30"/>
  <c r="AR85" i="30"/>
  <c r="AY84" i="30"/>
  <c r="AS84" i="30"/>
  <c r="AU83" i="30"/>
  <c r="AV83" i="30"/>
  <c r="AW83" i="30"/>
  <c r="AX83" i="30"/>
  <c r="AV84" i="30"/>
  <c r="AU84" i="30"/>
  <c r="AR86" i="30"/>
  <c r="AY85" i="30"/>
  <c r="AW84" i="30"/>
  <c r="AX84" i="30"/>
  <c r="AS85" i="30"/>
  <c r="AS86" i="30"/>
  <c r="AR87" i="30"/>
  <c r="AY86" i="30"/>
  <c r="AU85" i="30"/>
  <c r="AW85" i="30"/>
  <c r="AX85" i="30"/>
  <c r="AV85" i="30"/>
  <c r="AV86" i="30"/>
  <c r="AU86" i="30"/>
  <c r="AY87" i="30"/>
  <c r="AR88" i="30"/>
  <c r="AS87" i="30"/>
  <c r="AW86" i="30"/>
  <c r="AX86" i="30"/>
  <c r="AR89" i="30"/>
  <c r="AY88" i="30"/>
  <c r="AS88" i="30"/>
  <c r="AU87" i="30"/>
  <c r="AW87" i="30"/>
  <c r="AX87" i="30"/>
  <c r="AV87" i="30"/>
  <c r="AV88" i="30"/>
  <c r="AU88" i="30"/>
  <c r="AW88" i="30"/>
  <c r="AX88" i="30"/>
  <c r="AR90" i="30"/>
  <c r="AY89" i="30"/>
  <c r="AS89" i="30"/>
  <c r="AV89" i="30"/>
  <c r="AU89" i="30"/>
  <c r="AS90" i="30"/>
  <c r="AW89" i="30"/>
  <c r="AX89" i="30"/>
  <c r="AR91" i="30"/>
  <c r="AY90" i="30"/>
  <c r="AU90" i="30"/>
  <c r="AW90" i="30"/>
  <c r="AX90" i="30"/>
  <c r="AV90" i="30"/>
  <c r="AY91" i="30"/>
  <c r="AS91" i="30"/>
  <c r="AR92" i="30"/>
  <c r="AU91" i="30"/>
  <c r="AV91" i="30"/>
  <c r="AR93" i="30"/>
  <c r="AY92" i="30"/>
  <c r="AW91" i="30"/>
  <c r="AX91" i="30"/>
  <c r="AS92" i="30"/>
  <c r="AR94" i="30"/>
  <c r="AY93" i="30"/>
  <c r="AS93" i="30"/>
  <c r="AV92" i="30"/>
  <c r="AU92" i="30"/>
  <c r="AW92" i="30"/>
  <c r="AX92" i="30"/>
  <c r="AU93" i="30"/>
  <c r="AW93" i="30"/>
  <c r="AX93" i="30"/>
  <c r="AV93" i="30"/>
  <c r="AS94" i="30"/>
  <c r="AY94" i="30"/>
  <c r="AR95" i="30"/>
  <c r="AV94" i="30"/>
  <c r="AU94" i="30"/>
  <c r="AY95" i="30"/>
  <c r="AS95" i="30"/>
  <c r="AR96" i="30"/>
  <c r="AW94" i="30"/>
  <c r="AX94" i="30"/>
  <c r="AU95" i="30"/>
  <c r="AV95" i="30"/>
  <c r="AR97" i="30"/>
  <c r="AW95" i="30"/>
  <c r="AX95" i="30"/>
  <c r="AY96" i="30"/>
  <c r="AS96" i="30"/>
  <c r="AY97" i="30"/>
  <c r="AS97" i="30"/>
  <c r="AR98" i="30"/>
  <c r="AV96" i="30"/>
  <c r="AU96" i="30"/>
  <c r="AW96" i="30"/>
  <c r="AX96" i="30"/>
  <c r="AS98" i="30"/>
  <c r="AR99" i="30"/>
  <c r="AY98" i="30"/>
  <c r="AV97" i="30"/>
  <c r="AU97" i="30"/>
  <c r="AW97" i="30"/>
  <c r="AX97" i="30"/>
  <c r="AY99" i="30"/>
  <c r="AW98" i="30"/>
  <c r="AX98" i="30"/>
  <c r="AS99" i="30"/>
  <c r="AR100" i="30"/>
  <c r="AV98" i="30"/>
  <c r="AU98" i="30"/>
  <c r="AR101" i="30"/>
  <c r="AY100" i="30"/>
  <c r="AS100" i="30"/>
  <c r="AU99" i="30"/>
  <c r="AW99" i="30"/>
  <c r="AX99" i="30"/>
  <c r="AV99" i="30"/>
  <c r="AS101" i="30"/>
  <c r="AR102" i="30"/>
  <c r="AY101" i="30"/>
  <c r="AV100" i="30"/>
  <c r="AU100" i="30"/>
  <c r="AW100" i="30"/>
  <c r="AX100" i="30"/>
  <c r="AV101" i="30"/>
  <c r="AU101" i="30"/>
  <c r="AS102" i="30"/>
  <c r="AW101" i="30"/>
  <c r="AX101" i="30"/>
  <c r="AR103" i="30"/>
  <c r="AY102" i="30"/>
  <c r="AV102" i="30"/>
  <c r="AU102" i="30"/>
  <c r="AY103" i="30"/>
  <c r="AR104" i="30"/>
  <c r="AS103" i="30"/>
  <c r="AW102" i="30"/>
  <c r="AX102" i="30"/>
  <c r="AR105" i="30"/>
  <c r="AY104" i="30"/>
  <c r="AS104" i="30"/>
  <c r="AU103" i="30"/>
  <c r="AW103" i="30"/>
  <c r="AX103" i="30"/>
  <c r="AV103" i="30"/>
  <c r="AV104" i="30"/>
  <c r="AU104" i="30"/>
  <c r="AW104" i="30"/>
  <c r="AX104" i="30"/>
  <c r="AS105" i="30"/>
  <c r="AR106" i="30"/>
  <c r="AY105" i="30"/>
  <c r="AV105" i="30"/>
  <c r="AU105" i="30"/>
  <c r="AS106" i="30"/>
  <c r="AW105" i="30"/>
  <c r="AX105" i="30"/>
  <c r="AR107" i="30"/>
  <c r="AY106" i="30"/>
  <c r="AU106" i="30"/>
  <c r="AV106" i="30"/>
  <c r="AY107" i="30"/>
  <c r="AW106" i="30"/>
  <c r="AX106" i="30"/>
  <c r="AS107" i="30"/>
  <c r="AR108" i="30"/>
  <c r="AR109" i="30"/>
  <c r="AS108" i="30"/>
  <c r="AY108" i="30"/>
  <c r="AU107" i="30"/>
  <c r="AW107" i="30"/>
  <c r="AX107" i="30"/>
  <c r="AV107" i="30"/>
  <c r="AV108" i="30"/>
  <c r="AU108" i="30"/>
  <c r="AR110" i="30"/>
  <c r="AW108" i="30"/>
  <c r="AX108" i="30"/>
  <c r="AS109" i="30"/>
  <c r="AY109" i="30"/>
  <c r="AS110" i="30"/>
  <c r="AY110" i="30"/>
  <c r="AR111" i="30"/>
  <c r="AU109" i="30"/>
  <c r="AV109" i="30"/>
  <c r="AW109" i="30"/>
  <c r="AX109" i="30"/>
  <c r="AY111" i="30"/>
  <c r="AS111" i="30"/>
  <c r="AR112" i="30"/>
  <c r="AV110" i="30"/>
  <c r="AU110" i="30"/>
  <c r="AW110" i="30"/>
  <c r="AX110" i="30"/>
  <c r="AU111" i="30"/>
  <c r="AV111" i="30"/>
  <c r="AR113" i="30"/>
  <c r="AW111" i="30"/>
  <c r="AX111" i="30"/>
  <c r="AY112" i="30"/>
  <c r="AS112" i="30"/>
  <c r="AY113" i="30"/>
  <c r="AZ5" i="30"/>
  <c r="R19" i="30"/>
  <c r="T19" i="30"/>
  <c r="V19" i="30"/>
  <c r="AS113" i="30"/>
  <c r="AV112" i="30"/>
  <c r="AU112" i="30"/>
  <c r="AW112" i="30"/>
  <c r="AX112" i="30"/>
  <c r="AV113" i="30"/>
  <c r="AU113" i="30"/>
  <c r="AW113" i="30"/>
  <c r="AX113" i="30"/>
  <c r="W26" i="30"/>
  <c r="I25" i="30"/>
  <c r="I24" i="30"/>
  <c r="G29" i="30"/>
  <c r="G27" i="30"/>
  <c r="G28" i="30"/>
</calcChain>
</file>

<file path=xl/comments1.xml><?xml version="1.0" encoding="utf-8"?>
<comments xmlns="http://schemas.openxmlformats.org/spreadsheetml/2006/main">
  <authors>
    <author>Author</author>
  </authors>
  <commentList>
    <comment ref="F7" author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text>
        <r>
          <rPr>
            <sz val="9"/>
            <color indexed="81"/>
            <rFont val="Tahoma"/>
            <family val="2"/>
          </rPr>
          <t>Biomedical research often is not reliable. Enter your expected probability that the developmental impact found by Miguel and Kremer 2004 actually exists.</t>
        </r>
      </text>
    </comment>
    <comment ref="I8"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L8" authorId="0">
      <text>
        <r>
          <rPr>
            <sz val="9"/>
            <color indexed="81"/>
            <rFont val="Tahoma"/>
            <family val="2"/>
          </rPr>
          <t>Biomedical research often is not reliable. Enter your expected probability that the IQ impact found by studies of iodine actually exists.</t>
        </r>
      </text>
    </comment>
    <comment ref="F9" authorId="0">
      <text>
        <r>
          <rPr>
            <sz val="9"/>
            <color indexed="81"/>
            <rFont val="Tahoma"/>
            <family val="2"/>
          </rPr>
          <t>Miguel and Kremer 2004 found benefits to future income after 2.41 years of treatment, but programs aim to deworm children for 10 years. Enter the proportion of those 10 years that you expect are helpful to children's development.</t>
        </r>
      </text>
    </comment>
    <comment ref="I9" author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L9" authorId="0">
      <text>
        <r>
          <rPr>
            <sz val="9"/>
            <color indexed="81"/>
            <rFont val="Tahoma"/>
            <family val="2"/>
          </rPr>
          <t>Studies of the effects of iodine may have taken place under particularly favorable conditions. Enter the fraction of the effect that those studies found that you expect in typical conditions.</t>
        </r>
      </text>
    </comment>
    <comment ref="C10" authorId="0">
      <text>
        <r>
          <rPr>
            <sz val="9"/>
            <color indexed="81"/>
            <rFont val="Calibri"/>
            <family val="2"/>
          </rPr>
          <t>This is only applied to the proportion that is invested.</t>
        </r>
      </text>
    </comment>
    <comment ref="F10" author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L10" authorId="0">
      <text>
        <r>
          <rPr>
            <sz val="9"/>
            <color indexed="81"/>
            <rFont val="Tahoma"/>
            <family val="2"/>
          </rPr>
          <t>Enter the proportion by which you think ICCIDD/GAIN may leverage government funds for iodine fortification.</t>
        </r>
      </text>
    </comment>
    <comment ref="F11" author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L11" authorId="0">
      <text>
        <r>
          <rPr>
            <sz val="9"/>
            <color indexed="81"/>
            <rFont val="Tahoma"/>
            <family val="2"/>
          </rPr>
          <t>There is some evidence that IQ increases fade out over time. Enter the proportion of the effect that you think actually persists over time.</t>
        </r>
      </text>
    </comment>
    <comment ref="L12" authorId="0">
      <text>
        <r>
          <rPr>
            <sz val="9"/>
            <color indexed="81"/>
            <rFont val="Tahoma"/>
            <family val="2"/>
          </rPr>
          <t>Enter the proportion of households that previously weren't getting iodized salt that now will as a result of national salt iodization.</t>
        </r>
      </text>
    </comment>
    <comment ref="L13" authorId="0">
      <text>
        <r>
          <rPr>
            <sz val="9"/>
            <color indexed="81"/>
            <rFont val="Tahoma"/>
            <family val="2"/>
          </rPr>
          <t>Enter the probability that GAIN or ICCIDD are causing salt iodization that wouldn't have happened anyway.</t>
        </r>
      </text>
    </comment>
    <comment ref="C14" authorId="0">
      <text>
        <r>
          <rPr>
            <b/>
            <sz val="9"/>
            <color indexed="81"/>
            <rFont val="Tahoma"/>
            <charset val="1"/>
          </rPr>
          <t>Author:</t>
        </r>
        <r>
          <rPr>
            <sz val="9"/>
            <color indexed="81"/>
            <rFont val="Tahoma"/>
            <family val="2"/>
          </rPr>
          <t xml:space="preserve">
Length of capital investments (e.g. iron roofs)</t>
        </r>
      </text>
    </comment>
    <comment ref="I14" authorId="0">
      <text>
        <r>
          <rPr>
            <sz val="9"/>
            <color indexed="81"/>
            <rFont val="Tahoma"/>
            <family val="2"/>
          </rPr>
          <t>The long term benefits of deworming likely only accrue to children. Short term health benefits likely impact both children and adults.</t>
        </r>
      </text>
    </comment>
    <comment ref="L14" authorId="0">
      <text>
        <r>
          <rPr>
            <sz val="9"/>
            <color indexed="81"/>
            <rFont val="Tahoma"/>
            <family val="2"/>
          </rPr>
          <t>Studies have found that iodine increases IQ, but it is possible that in developing countries increased IQ does not lead to actual improvements in quality of life. (E.g. Baird et al 2012 found no effect of deworming on non-wage earners, even though wage earners were better off, presumably do to some developmental, possibly mental, effects of deworming). Enter the percentage of children who's quality of life you expect will actually benefit from the effects of iodine.</t>
        </r>
      </text>
    </comment>
    <comment ref="I15" authorId="0">
      <text>
        <r>
          <rPr>
            <sz val="9"/>
            <color indexed="81"/>
            <rFont val="Tahoma"/>
            <family val="2"/>
          </rPr>
          <t xml:space="preserve">The long term benefits of deworming likely only accrue to children. Short term health benefits likely impact both children and adults. </t>
        </r>
      </text>
    </comment>
    <comment ref="L15" authorId="0">
      <text>
        <r>
          <rPr>
            <sz val="9"/>
            <color indexed="81"/>
            <rFont val="Tahoma"/>
            <family val="2"/>
          </rPr>
          <t>Note that studies of iodine have found increases in IQ, not wages. Here we use wages for comparison to deworming, relying on an assumption that there is a connection. Enter the expected increase in wages from having sufficient iodine throughout childhood (more specifically, the equivalent wage increase to the IQ benefit you expect).</t>
        </r>
      </text>
    </comment>
  </commentList>
</comments>
</file>

<file path=xl/comments10.xml><?xml version="1.0" encoding="utf-8"?>
<comments xmlns="http://schemas.openxmlformats.org/spreadsheetml/2006/main">
  <authors>
    <author>Author</author>
  </authors>
  <commentList>
    <comment ref="F7" author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text>
        <r>
          <rPr>
            <sz val="9"/>
            <color indexed="81"/>
            <rFont val="Tahoma"/>
            <family val="2"/>
          </rPr>
          <t>Biomedical research often is not reliable. Enter your expected probability that the developmental impact found by Miguel and Kremer 2004 actually exists.</t>
        </r>
      </text>
    </comment>
    <comment ref="I8"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L8" authorId="0">
      <text>
        <r>
          <rPr>
            <sz val="9"/>
            <color indexed="81"/>
            <rFont val="Tahoma"/>
            <family val="2"/>
          </rPr>
          <t>Biomedical research often is not reliable. Enter your expected probability that the IQ impact found by studies of iodine actually exists.</t>
        </r>
      </text>
    </comment>
    <comment ref="F9" authorId="0">
      <text>
        <r>
          <rPr>
            <sz val="9"/>
            <color indexed="81"/>
            <rFont val="Tahoma"/>
            <family val="2"/>
          </rPr>
          <t>Miguel and Kremer 2004 found benefits to future income after 2.41 years of treatment, but programs aim to deworm children for 10 years. Enter the proportion of those 10 years that you expect are helpful to children's development.</t>
        </r>
      </text>
    </comment>
    <comment ref="I9" author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L9" authorId="0">
      <text>
        <r>
          <rPr>
            <sz val="9"/>
            <color indexed="81"/>
            <rFont val="Tahoma"/>
            <family val="2"/>
          </rPr>
          <t>Studies of the effects of iodine may have taken place under particularly favorable conditions. Enter the fraction of the effect that those studies found that you expect in typical conditions.</t>
        </r>
      </text>
    </comment>
    <comment ref="C10" authorId="0">
      <text>
        <r>
          <rPr>
            <sz val="9"/>
            <color indexed="81"/>
            <rFont val="Calibri"/>
            <family val="2"/>
          </rPr>
          <t>This is only applied to the proportion that is invested.</t>
        </r>
      </text>
    </comment>
    <comment ref="F10" author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L10" authorId="0">
      <text>
        <r>
          <rPr>
            <sz val="9"/>
            <color indexed="81"/>
            <rFont val="Tahoma"/>
            <family val="2"/>
          </rPr>
          <t>Enter the proportion by which you think ICCIDD/GAIN may leverage government funds for iodine fortification.</t>
        </r>
      </text>
    </comment>
    <comment ref="F11" author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L11" authorId="0">
      <text>
        <r>
          <rPr>
            <sz val="9"/>
            <color indexed="81"/>
            <rFont val="Tahoma"/>
            <family val="2"/>
          </rPr>
          <t>There is some evidence that IQ increases fade out over time. Enter the proportion of the effect that you think actually persists over time.</t>
        </r>
      </text>
    </comment>
    <comment ref="L12" authorId="0">
      <text>
        <r>
          <rPr>
            <sz val="9"/>
            <color indexed="81"/>
            <rFont val="Tahoma"/>
            <family val="2"/>
          </rPr>
          <t>Enter the proportion of households that previously weren't getting iodized salt that now will as a result of national salt iodization.</t>
        </r>
      </text>
    </comment>
    <comment ref="L13" authorId="0">
      <text>
        <r>
          <rPr>
            <sz val="9"/>
            <color indexed="81"/>
            <rFont val="Tahoma"/>
            <family val="2"/>
          </rPr>
          <t>Enter the probability that GAIN or ICCIDD are causing salt iodization that wouldn't have happened anyway.</t>
        </r>
      </text>
    </comment>
    <comment ref="I14" authorId="0">
      <text>
        <r>
          <rPr>
            <sz val="9"/>
            <color indexed="81"/>
            <rFont val="Tahoma"/>
            <family val="2"/>
          </rPr>
          <t>The long term benefits of deworming likely only accrue to children. Short term health benefits likely impact both children and adults.</t>
        </r>
      </text>
    </comment>
    <comment ref="L14" authorId="0">
      <text>
        <r>
          <rPr>
            <sz val="9"/>
            <color indexed="81"/>
            <rFont val="Tahoma"/>
            <family val="2"/>
          </rPr>
          <t>Studies have found that iodine increases IQ, but it is possible that in developing countries increased IQ does not lead to actual improvements in quality of life. (E.g. Baird et al 2012 found no effect of deworming on non-wage earners, even though wage earners were better off, presumably do to some developmental, possibly mental, effects of deworming). Enter the percentage of children who's quality of life you expect will actually benefit from the effects of iodine.</t>
        </r>
      </text>
    </comment>
    <comment ref="I15" authorId="0">
      <text>
        <r>
          <rPr>
            <sz val="9"/>
            <color indexed="81"/>
            <rFont val="Tahoma"/>
            <family val="2"/>
          </rPr>
          <t xml:space="preserve">The long term benefits of deworming likely only accrue to children. Short term health benefits likely impact both children and adults. </t>
        </r>
      </text>
    </comment>
    <comment ref="L15" authorId="0">
      <text>
        <r>
          <rPr>
            <sz val="9"/>
            <color indexed="81"/>
            <rFont val="Tahoma"/>
            <family val="2"/>
          </rPr>
          <t>Note that studies of iodine have found increases in IQ, not wages. Here we use wages for comparison to deworming, relying on an assumption that there is a connection. Enter the expected increase in wages from having sufficient iodine throughout childhood (more specifically, the equivalent wage increase to the IQ benefit you expect).</t>
        </r>
      </text>
    </comment>
  </commentList>
</comments>
</file>

<file path=xl/comments2.xml><?xml version="1.0" encoding="utf-8"?>
<comments xmlns="http://schemas.openxmlformats.org/spreadsheetml/2006/main">
  <authors>
    <author>Author</author>
  </authors>
  <commentList>
    <comment ref="F7" author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text>
        <r>
          <rPr>
            <sz val="9"/>
            <color indexed="81"/>
            <rFont val="Tahoma"/>
            <family val="2"/>
          </rPr>
          <t>Biomedical research often is not reliable. Enter your expected probability that the developmental impact found by Miguel and Kremer 2004 actually exists.</t>
        </r>
      </text>
    </comment>
    <comment ref="I8"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L8" authorId="0">
      <text>
        <r>
          <rPr>
            <sz val="9"/>
            <color indexed="81"/>
            <rFont val="Tahoma"/>
            <family val="2"/>
          </rPr>
          <t>Biomedical research often is not reliable. Enter your expected probability that the IQ impact found by studies of iodine actually exists.</t>
        </r>
      </text>
    </comment>
    <comment ref="F9" authorId="0">
      <text>
        <r>
          <rPr>
            <sz val="9"/>
            <color indexed="81"/>
            <rFont val="Tahoma"/>
            <family val="2"/>
          </rPr>
          <t>Miguel and Kremer 2004 found benefits to future income after 2.41 years of treatment, but programs aim to deworm children for 10 years. Enter the proportion of those 10 years that you expect are helpful to children's development.</t>
        </r>
      </text>
    </comment>
    <comment ref="I9" author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L9" authorId="0">
      <text>
        <r>
          <rPr>
            <sz val="9"/>
            <color indexed="81"/>
            <rFont val="Tahoma"/>
            <family val="2"/>
          </rPr>
          <t>Studies of the effects of iodine may have taken place under particularly favorable conditions. Enter the fraction of the effect that those studies found that you expect in typical conditions.</t>
        </r>
      </text>
    </comment>
    <comment ref="C10" authorId="0">
      <text>
        <r>
          <rPr>
            <sz val="9"/>
            <color indexed="81"/>
            <rFont val="Calibri"/>
            <family val="2"/>
          </rPr>
          <t>This is only applied to the proportion that is invested.</t>
        </r>
      </text>
    </comment>
    <comment ref="F10" author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L10" authorId="0">
      <text>
        <r>
          <rPr>
            <sz val="9"/>
            <color indexed="81"/>
            <rFont val="Tahoma"/>
            <family val="2"/>
          </rPr>
          <t>Enter the proportion by which you think ICCIDD/GAIN may leverage government funds for iodine fortification.</t>
        </r>
      </text>
    </comment>
    <comment ref="F11" author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L11" authorId="0">
      <text>
        <r>
          <rPr>
            <sz val="9"/>
            <color indexed="81"/>
            <rFont val="Tahoma"/>
            <family val="2"/>
          </rPr>
          <t>There is some evidence that IQ increases fade out over time. Enter the proportion of the effect that you think actually persists over time.</t>
        </r>
      </text>
    </comment>
    <comment ref="L12" authorId="0">
      <text>
        <r>
          <rPr>
            <sz val="9"/>
            <color indexed="81"/>
            <rFont val="Tahoma"/>
            <family val="2"/>
          </rPr>
          <t>Enter the proportion of households that previously weren't getting iodized salt that now will as a result of national salt iodization.</t>
        </r>
      </text>
    </comment>
    <comment ref="L13" authorId="0">
      <text>
        <r>
          <rPr>
            <sz val="9"/>
            <color indexed="81"/>
            <rFont val="Tahoma"/>
            <family val="2"/>
          </rPr>
          <t>Enter the probability that GAIN or ICCIDD are causing salt iodization that wouldn't have happened anyway.</t>
        </r>
      </text>
    </comment>
    <comment ref="I14" authorId="0">
      <text>
        <r>
          <rPr>
            <sz val="9"/>
            <color indexed="81"/>
            <rFont val="Tahoma"/>
            <family val="2"/>
          </rPr>
          <t>The long term benefits of deworming likely only accrue to children. Short term health benefits likely impact both children and adults.</t>
        </r>
      </text>
    </comment>
    <comment ref="L14" authorId="0">
      <text>
        <r>
          <rPr>
            <sz val="9"/>
            <color indexed="81"/>
            <rFont val="Tahoma"/>
            <family val="2"/>
          </rPr>
          <t>Studies have found that iodine increases IQ, but it is possible that in developing countries increased IQ does not lead to actual improvements in quality of life. (E.g. Baird et al 2012 found no effect of deworming on non-wage earners, even though wage earners were better off, presumably do to some developmental, possibly mental, effects of deworming). Enter the percentage of children who's quality of life you expect will actually benefit from the effects of iodine.</t>
        </r>
      </text>
    </comment>
    <comment ref="I15" authorId="0">
      <text>
        <r>
          <rPr>
            <sz val="9"/>
            <color indexed="81"/>
            <rFont val="Tahoma"/>
            <family val="2"/>
          </rPr>
          <t xml:space="preserve">The long term benefits of deworming likely only accrue to children. Short term health benefits likely impact both children and adults. </t>
        </r>
      </text>
    </comment>
    <comment ref="L15" authorId="0">
      <text>
        <r>
          <rPr>
            <sz val="9"/>
            <color indexed="81"/>
            <rFont val="Tahoma"/>
            <family val="2"/>
          </rPr>
          <t>Note that studies of iodine have found increases in IQ, not wages. Here we use wages for comparison to deworming, relying on an assumption that there is a connection. Enter the expected increase in wages from having sufficient iodine throughout childhood (more specifically, the equivalent wage increase to the IQ benefit you expect).</t>
        </r>
      </text>
    </comment>
  </commentList>
</comments>
</file>

<file path=xl/comments3.xml><?xml version="1.0" encoding="utf-8"?>
<comments xmlns="http://schemas.openxmlformats.org/spreadsheetml/2006/main">
  <authors>
    <author>Author</author>
  </authors>
  <commentList>
    <comment ref="F7" author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text>
        <r>
          <rPr>
            <sz val="9"/>
            <color indexed="81"/>
            <rFont val="Tahoma"/>
            <family val="2"/>
          </rPr>
          <t>Biomedical research often is not reliable. Enter your expected probability that the developmental impact found by Miguel and Kremer 2004 actually exists.</t>
        </r>
      </text>
    </comment>
    <comment ref="I8"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L8" authorId="0">
      <text>
        <r>
          <rPr>
            <sz val="9"/>
            <color indexed="81"/>
            <rFont val="Tahoma"/>
            <family val="2"/>
          </rPr>
          <t>Biomedical research often is not reliable. Enter your expected probability that the IQ impact found by studies of iodine actually exists.</t>
        </r>
      </text>
    </comment>
    <comment ref="F9" authorId="0">
      <text>
        <r>
          <rPr>
            <sz val="9"/>
            <color indexed="81"/>
            <rFont val="Tahoma"/>
            <family val="2"/>
          </rPr>
          <t>Miguel and Kremer 2004 found benefits to future income after 2.41 years of treatment, but programs aim to deworm children for 10 years. Enter the proportion of those 10 years that you expect are helpful to children's development.</t>
        </r>
      </text>
    </comment>
    <comment ref="I9" author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L9" authorId="0">
      <text>
        <r>
          <rPr>
            <sz val="9"/>
            <color indexed="81"/>
            <rFont val="Tahoma"/>
            <family val="2"/>
          </rPr>
          <t>Studies of the effects of iodine may have taken place under particularly favorable conditions. Enter the fraction of the effect that those studies found that you expect in typical conditions.</t>
        </r>
      </text>
    </comment>
    <comment ref="C10" authorId="0">
      <text>
        <r>
          <rPr>
            <sz val="9"/>
            <color indexed="81"/>
            <rFont val="Calibri"/>
            <family val="2"/>
          </rPr>
          <t>This is only applied to the proportion that is invested.</t>
        </r>
      </text>
    </comment>
    <comment ref="F10" author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L10" authorId="0">
      <text>
        <r>
          <rPr>
            <sz val="9"/>
            <color indexed="81"/>
            <rFont val="Tahoma"/>
            <family val="2"/>
          </rPr>
          <t>Enter the proportion by which you think ICCIDD/GAIN may leverage government funds for iodine fortification.</t>
        </r>
      </text>
    </comment>
    <comment ref="F11" author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L11" authorId="0">
      <text>
        <r>
          <rPr>
            <sz val="9"/>
            <color indexed="81"/>
            <rFont val="Tahoma"/>
            <family val="2"/>
          </rPr>
          <t>There is some evidence that IQ increases fade out over time. Enter the proportion of the effect that you think actually persists over time.</t>
        </r>
      </text>
    </comment>
    <comment ref="L12" authorId="0">
      <text>
        <r>
          <rPr>
            <sz val="9"/>
            <color indexed="81"/>
            <rFont val="Tahoma"/>
            <family val="2"/>
          </rPr>
          <t>Enter the proportion of households that previously weren't getting iodized salt that now will as a result of national salt iodization.</t>
        </r>
      </text>
    </comment>
    <comment ref="L13" authorId="0">
      <text>
        <r>
          <rPr>
            <sz val="9"/>
            <color indexed="81"/>
            <rFont val="Tahoma"/>
            <family val="2"/>
          </rPr>
          <t>Enter the probability that GAIN or ICCIDD are causing salt iodization that wouldn't have happened anyway.</t>
        </r>
      </text>
    </comment>
    <comment ref="I14" authorId="0">
      <text>
        <r>
          <rPr>
            <sz val="9"/>
            <color indexed="81"/>
            <rFont val="Tahoma"/>
            <family val="2"/>
          </rPr>
          <t>The long term benefits of deworming likely only accrue to children. Short term health benefits likely impact both children and adults.</t>
        </r>
      </text>
    </comment>
    <comment ref="L14" authorId="0">
      <text>
        <r>
          <rPr>
            <sz val="9"/>
            <color indexed="81"/>
            <rFont val="Tahoma"/>
            <family val="2"/>
          </rPr>
          <t>Studies have found that iodine increases IQ, but it is possible that in developing countries increased IQ does not lead to actual improvements in quality of life. (E.g. Baird et al 2012 found no effect of deworming on non-wage earners, even though wage earners were better off, presumably do to some developmental, possibly mental, effects of deworming). Enter the percentage of children who's quality of life you expect will actually benefit from the effects of iodine.</t>
        </r>
      </text>
    </comment>
    <comment ref="I15" authorId="0">
      <text>
        <r>
          <rPr>
            <sz val="9"/>
            <color indexed="81"/>
            <rFont val="Tahoma"/>
            <family val="2"/>
          </rPr>
          <t xml:space="preserve">The long term benefits of deworming likely only accrue to children. Short term health benefits likely impact both children and adults. </t>
        </r>
      </text>
    </comment>
    <comment ref="L15" authorId="0">
      <text>
        <r>
          <rPr>
            <sz val="9"/>
            <color indexed="81"/>
            <rFont val="Tahoma"/>
            <family val="2"/>
          </rPr>
          <t>Note that studies of iodine have found increases in IQ, not wages. Here we use wages for comparison to deworming, relying on an assumption that there is a connection. Enter the expected increase in wages from having sufficient iodine throughout childhood (more specifically, the equivalent wage increase to the IQ benefit you expect).</t>
        </r>
      </text>
    </comment>
  </commentList>
</comments>
</file>

<file path=xl/comments4.xml><?xml version="1.0" encoding="utf-8"?>
<comments xmlns="http://schemas.openxmlformats.org/spreadsheetml/2006/main">
  <authors>
    <author>Author</author>
  </authors>
  <commentList>
    <comment ref="F7" author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text>
        <r>
          <rPr>
            <sz val="9"/>
            <color indexed="81"/>
            <rFont val="Tahoma"/>
            <family val="2"/>
          </rPr>
          <t>Biomedical research often is not reliable. Enter your expected probability that the developmental impact found by Miguel and Kremer 2004 actually exists.</t>
        </r>
      </text>
    </comment>
    <comment ref="I8"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L8" authorId="0">
      <text>
        <r>
          <rPr>
            <sz val="9"/>
            <color indexed="81"/>
            <rFont val="Tahoma"/>
            <family val="2"/>
          </rPr>
          <t>Biomedical research often is not reliable. Enter your expected probability that the IQ impact found by studies of iodine actually exists.</t>
        </r>
      </text>
    </comment>
    <comment ref="F9" authorId="0">
      <text>
        <r>
          <rPr>
            <sz val="9"/>
            <color indexed="81"/>
            <rFont val="Tahoma"/>
            <family val="2"/>
          </rPr>
          <t>Miguel and Kremer 2004 found benefits to future income after 2.41 years of treatment, but programs aim to deworm children for 10 years. Enter the proportion of those 10 years that you expect are helpful to children's development.</t>
        </r>
      </text>
    </comment>
    <comment ref="I9" author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L9" authorId="0">
      <text>
        <r>
          <rPr>
            <sz val="9"/>
            <color indexed="81"/>
            <rFont val="Tahoma"/>
            <family val="2"/>
          </rPr>
          <t>Studies of the effects of iodine may have taken place under particularly favorable conditions. Enter the fraction of the effect that those studies found that you expect in typical conditions.</t>
        </r>
      </text>
    </comment>
    <comment ref="C10" authorId="0">
      <text>
        <r>
          <rPr>
            <sz val="9"/>
            <color indexed="81"/>
            <rFont val="Calibri"/>
            <family val="2"/>
          </rPr>
          <t>This is only applied to the proportion that is invested.</t>
        </r>
      </text>
    </comment>
    <comment ref="F10" author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L10" authorId="0">
      <text>
        <r>
          <rPr>
            <sz val="9"/>
            <color indexed="81"/>
            <rFont val="Tahoma"/>
            <family val="2"/>
          </rPr>
          <t>Enter the proportion by which you think ICCIDD/GAIN may leverage government funds for iodine fortification.</t>
        </r>
      </text>
    </comment>
    <comment ref="F11" author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L11" authorId="0">
      <text>
        <r>
          <rPr>
            <sz val="9"/>
            <color indexed="81"/>
            <rFont val="Tahoma"/>
            <family val="2"/>
          </rPr>
          <t>There is some evidence that IQ increases fade out over time. Enter the proportion of the effect that you think actually persists over time.</t>
        </r>
      </text>
    </comment>
    <comment ref="L12" authorId="0">
      <text>
        <r>
          <rPr>
            <sz val="9"/>
            <color indexed="81"/>
            <rFont val="Tahoma"/>
            <family val="2"/>
          </rPr>
          <t>Enter the proportion of households that previously weren't getting iodized salt that now will as a result of national salt iodization.</t>
        </r>
      </text>
    </comment>
    <comment ref="L13" authorId="0">
      <text>
        <r>
          <rPr>
            <sz val="9"/>
            <color indexed="81"/>
            <rFont val="Tahoma"/>
            <family val="2"/>
          </rPr>
          <t>Enter the probability that GAIN or ICCIDD are causing salt iodization that wouldn't have happened anyway.</t>
        </r>
      </text>
    </comment>
    <comment ref="I14" authorId="0">
      <text>
        <r>
          <rPr>
            <sz val="9"/>
            <color indexed="81"/>
            <rFont val="Tahoma"/>
            <family val="2"/>
          </rPr>
          <t>The long term benefits of deworming likely only accrue to children. Short term health benefits likely impact both children and adults.</t>
        </r>
      </text>
    </comment>
    <comment ref="L14" authorId="0">
      <text>
        <r>
          <rPr>
            <sz val="9"/>
            <color indexed="81"/>
            <rFont val="Tahoma"/>
            <family val="2"/>
          </rPr>
          <t>Studies have found that iodine increases IQ, but it is possible that in developing countries increased IQ does not lead to actual improvements in quality of life. (E.g. Baird et al 2012 found no effect of deworming on non-wage earners, even though wage earners were better off, presumably do to some developmental, possibly mental, effects of deworming). Enter the percentage of children who's quality of life you expect will actually benefit from the effects of iodine.</t>
        </r>
      </text>
    </comment>
    <comment ref="I15" authorId="0">
      <text>
        <r>
          <rPr>
            <sz val="9"/>
            <color indexed="81"/>
            <rFont val="Tahoma"/>
            <family val="2"/>
          </rPr>
          <t xml:space="preserve">The long term benefits of deworming likely only accrue to children. Short term health benefits likely impact both children and adults. </t>
        </r>
      </text>
    </comment>
    <comment ref="L15" authorId="0">
      <text>
        <r>
          <rPr>
            <sz val="9"/>
            <color indexed="81"/>
            <rFont val="Tahoma"/>
            <family val="2"/>
          </rPr>
          <t>Note that studies of iodine have found increases in IQ, not wages. Here we use wages for comparison to deworming, relying on an assumption that there is a connection. Enter the expected increase in wages from having sufficient iodine throughout childhood (more specifically, the equivalent wage increase to the IQ benefit you expect).</t>
        </r>
      </text>
    </comment>
  </commentList>
</comments>
</file>

<file path=xl/comments5.xml><?xml version="1.0" encoding="utf-8"?>
<comments xmlns="http://schemas.openxmlformats.org/spreadsheetml/2006/main">
  <authors>
    <author>Author</author>
  </authors>
  <commentList>
    <comment ref="F7" author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text>
        <r>
          <rPr>
            <sz val="9"/>
            <color indexed="81"/>
            <rFont val="Tahoma"/>
            <family val="2"/>
          </rPr>
          <t>Biomedical research often is not reliable. Enter your expected probability that the developmental impact found by Miguel and Kremer 2004 actually exists.</t>
        </r>
      </text>
    </comment>
    <comment ref="I8"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L8" authorId="0">
      <text>
        <r>
          <rPr>
            <sz val="9"/>
            <color indexed="81"/>
            <rFont val="Tahoma"/>
            <family val="2"/>
          </rPr>
          <t>Biomedical research often is not reliable. Enter your expected probability that the IQ impact found by studies of iodine actually exists.</t>
        </r>
      </text>
    </comment>
    <comment ref="F9" authorId="0">
      <text>
        <r>
          <rPr>
            <sz val="9"/>
            <color indexed="81"/>
            <rFont val="Tahoma"/>
            <family val="2"/>
          </rPr>
          <t>Miguel and Kremer 2004 found benefits to future income after 2.41 years of treatment, but programs aim to deworm children for 10 years. Enter the proportion of those 10 years that you expect are helpful to children's development.</t>
        </r>
      </text>
    </comment>
    <comment ref="I9" author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L9" authorId="0">
      <text>
        <r>
          <rPr>
            <sz val="9"/>
            <color indexed="81"/>
            <rFont val="Tahoma"/>
            <family val="2"/>
          </rPr>
          <t>Studies of the effects of iodine may have taken place under particularly favorable conditions. Enter the fraction of the effect that those studies found that you expect in typical conditions.</t>
        </r>
      </text>
    </comment>
    <comment ref="C10" authorId="0">
      <text>
        <r>
          <rPr>
            <sz val="9"/>
            <color indexed="81"/>
            <rFont val="Calibri"/>
            <family val="2"/>
          </rPr>
          <t>This is only applied to the proportion that is invested.</t>
        </r>
      </text>
    </comment>
    <comment ref="F10" author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L10" authorId="0">
      <text>
        <r>
          <rPr>
            <sz val="9"/>
            <color indexed="81"/>
            <rFont val="Tahoma"/>
            <family val="2"/>
          </rPr>
          <t>Enter the proportion by which you think ICCIDD/GAIN may leverage government funds for iodine fortification.</t>
        </r>
      </text>
    </comment>
    <comment ref="F11" author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L11" authorId="0">
      <text>
        <r>
          <rPr>
            <sz val="9"/>
            <color indexed="81"/>
            <rFont val="Tahoma"/>
            <family val="2"/>
          </rPr>
          <t>There is some evidence that IQ increases fade out over time. Enter the proportion of the effect that you think actually persists over time.</t>
        </r>
      </text>
    </comment>
    <comment ref="L12" authorId="0">
      <text>
        <r>
          <rPr>
            <sz val="9"/>
            <color indexed="81"/>
            <rFont val="Tahoma"/>
            <family val="2"/>
          </rPr>
          <t>Enter the proportion of households that previously weren't getting iodized salt that now will as a result of national salt iodization.</t>
        </r>
      </text>
    </comment>
    <comment ref="L13" authorId="0">
      <text>
        <r>
          <rPr>
            <sz val="9"/>
            <color indexed="81"/>
            <rFont val="Tahoma"/>
            <family val="2"/>
          </rPr>
          <t>Enter the probability that GAIN or ICCIDD are causing salt iodization that wouldn't have happened anyway.</t>
        </r>
      </text>
    </comment>
    <comment ref="I14" authorId="0">
      <text>
        <r>
          <rPr>
            <sz val="9"/>
            <color indexed="81"/>
            <rFont val="Tahoma"/>
            <family val="2"/>
          </rPr>
          <t>The long term benefits of deworming likely only accrue to children. Short term health benefits likely impact both children and adults.</t>
        </r>
      </text>
    </comment>
    <comment ref="L14" authorId="0">
      <text>
        <r>
          <rPr>
            <sz val="9"/>
            <color indexed="81"/>
            <rFont val="Tahoma"/>
            <family val="2"/>
          </rPr>
          <t>Studies have found that iodine increases IQ, but it is possible that in developing countries increased IQ does not lead to actual improvements in quality of life. (E.g. Baird et al 2012 found no effect of deworming on non-wage earners, even though wage earners were better off, presumably do to some developmental, possibly mental, effects of deworming). Enter the percentage of children who's quality of life you expect will actually benefit from the effects of iodine.</t>
        </r>
      </text>
    </comment>
    <comment ref="I15" authorId="0">
      <text>
        <r>
          <rPr>
            <sz val="9"/>
            <color indexed="81"/>
            <rFont val="Tahoma"/>
            <family val="2"/>
          </rPr>
          <t xml:space="preserve">The long term benefits of deworming likely only accrue to children. Short term health benefits likely impact both children and adults. </t>
        </r>
      </text>
    </comment>
    <comment ref="L15" authorId="0">
      <text>
        <r>
          <rPr>
            <sz val="9"/>
            <color indexed="81"/>
            <rFont val="Tahoma"/>
            <family val="2"/>
          </rPr>
          <t>Note that studies of iodine have found increases in IQ, not wages. Here we use wages for comparison to deworming, relying on an assumption that there is a connection. Enter the expected increase in wages from having sufficient iodine throughout childhood (more specifically, the equivalent wage increase to the IQ benefit you expect).</t>
        </r>
      </text>
    </comment>
  </commentList>
</comments>
</file>

<file path=xl/comments6.xml><?xml version="1.0" encoding="utf-8"?>
<comments xmlns="http://schemas.openxmlformats.org/spreadsheetml/2006/main">
  <authors>
    <author>Author</author>
  </authors>
  <commentList>
    <comment ref="F7" author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G7" authorId="0">
      <text>
        <r>
          <rPr>
            <b/>
            <sz val="9"/>
            <color indexed="81"/>
            <rFont val="Calibri"/>
            <family val="2"/>
          </rPr>
          <t>Author:</t>
        </r>
        <r>
          <rPr>
            <sz val="9"/>
            <color indexed="81"/>
            <rFont val="Calibri"/>
            <family val="2"/>
          </rPr>
          <t xml:space="preserve">
multiplied by 0.75 to account for the fact that Croke and Miguel and Kremer were conducted in more or less the same time and place as each other, and the benefits of deworming may not be as hgih in other times and places.</t>
        </r>
      </text>
    </comment>
    <comment ref="I7"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text>
        <r>
          <rPr>
            <sz val="9"/>
            <color indexed="81"/>
            <rFont val="Tahoma"/>
            <family val="2"/>
          </rPr>
          <t>Biomedical research often is not reliable. Enter your expected probability that the developmental impact found by Miguel and Kremer 2004 actually exists.</t>
        </r>
      </text>
    </comment>
    <comment ref="I8"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L8" authorId="0">
      <text>
        <r>
          <rPr>
            <sz val="9"/>
            <color indexed="81"/>
            <rFont val="Tahoma"/>
            <family val="2"/>
          </rPr>
          <t>Biomedical research often is not reliable. Enter your expected probability that the IQ impact found by studies of iodine actually exists.</t>
        </r>
      </text>
    </comment>
    <comment ref="F9" authorId="0">
      <text>
        <r>
          <rPr>
            <sz val="9"/>
            <color indexed="81"/>
            <rFont val="Tahoma"/>
            <family val="2"/>
          </rPr>
          <t>Miguel and Kremer 2004 found benefits to future income after 2.41 years of treatment, but programs aim to deworm children for 10 years. Enter the proportion of those 10 years that you expect are helpful to children's development.</t>
        </r>
      </text>
    </comment>
    <comment ref="I9" author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L9" authorId="0">
      <text>
        <r>
          <rPr>
            <sz val="9"/>
            <color indexed="81"/>
            <rFont val="Tahoma"/>
            <family val="2"/>
          </rPr>
          <t>Studies of the effects of iodine may have taken place under particularly favorable conditions. Enter the fraction of the effect that those studies found that you expect in typical conditions.</t>
        </r>
      </text>
    </comment>
    <comment ref="C10" authorId="0">
      <text>
        <r>
          <rPr>
            <sz val="9"/>
            <color indexed="81"/>
            <rFont val="Calibri"/>
            <family val="2"/>
          </rPr>
          <t>This is only applied to the proportion that is invested.</t>
        </r>
      </text>
    </comment>
    <comment ref="F10" author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L10" authorId="0">
      <text>
        <r>
          <rPr>
            <sz val="9"/>
            <color indexed="81"/>
            <rFont val="Tahoma"/>
            <family val="2"/>
          </rPr>
          <t>Enter the proportion by which you think ICCIDD/GAIN may leverage government funds for iodine fortification.</t>
        </r>
      </text>
    </comment>
    <comment ref="F11" author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L11" authorId="0">
      <text>
        <r>
          <rPr>
            <sz val="9"/>
            <color indexed="81"/>
            <rFont val="Tahoma"/>
            <family val="2"/>
          </rPr>
          <t>There is some evidence that IQ increases fade out over time. Enter the proportion of the effect that you think actually persists over time.</t>
        </r>
      </text>
    </comment>
    <comment ref="L12" authorId="0">
      <text>
        <r>
          <rPr>
            <sz val="9"/>
            <color indexed="81"/>
            <rFont val="Tahoma"/>
            <family val="2"/>
          </rPr>
          <t>Enter the proportion of households that previously weren't getting iodized salt that now will as a result of national salt iodization.</t>
        </r>
      </text>
    </comment>
    <comment ref="L13" authorId="0">
      <text>
        <r>
          <rPr>
            <sz val="9"/>
            <color indexed="81"/>
            <rFont val="Tahoma"/>
            <family val="2"/>
          </rPr>
          <t>Enter the probability that GAIN or ICCIDD are causing salt iodization that wouldn't have happened anyway.</t>
        </r>
      </text>
    </comment>
    <comment ref="I14" authorId="0">
      <text>
        <r>
          <rPr>
            <sz val="9"/>
            <color indexed="81"/>
            <rFont val="Tahoma"/>
            <family val="2"/>
          </rPr>
          <t>The long term benefits of deworming likely only accrue to children. Short term health benefits likely impact both children and adults.</t>
        </r>
      </text>
    </comment>
    <comment ref="L14" authorId="0">
      <text>
        <r>
          <rPr>
            <sz val="9"/>
            <color indexed="81"/>
            <rFont val="Tahoma"/>
            <family val="2"/>
          </rPr>
          <t>Studies have found that iodine increases IQ, but it is possible that in developing countries increased IQ does not lead to actual improvements in quality of life. (E.g. Baird et al 2012 found no effect of deworming on non-wage earners, even though wage earners were better off, presumably do to some developmental, possibly mental, effects of deworming). Enter the percentage of children who's quality of life you expect will actually benefit from the effects of iodine.</t>
        </r>
      </text>
    </comment>
    <comment ref="I15" authorId="0">
      <text>
        <r>
          <rPr>
            <sz val="9"/>
            <color indexed="81"/>
            <rFont val="Tahoma"/>
            <family val="2"/>
          </rPr>
          <t xml:space="preserve">The long term benefits of deworming likely only accrue to children. Short term health benefits likely impact both children and adults. </t>
        </r>
      </text>
    </comment>
    <comment ref="L15" authorId="0">
      <text>
        <r>
          <rPr>
            <sz val="9"/>
            <color indexed="81"/>
            <rFont val="Tahoma"/>
            <family val="2"/>
          </rPr>
          <t>Note that studies of iodine have found increases in IQ, not wages. Here we use wages for comparison to deworming, relying on an assumption that there is a connection. Enter the expected increase in wages from having sufficient iodine throughout childhood (more specifically, the equivalent wage increase to the IQ benefit you expect).</t>
        </r>
      </text>
    </comment>
  </commentList>
</comments>
</file>

<file path=xl/comments7.xml><?xml version="1.0" encoding="utf-8"?>
<comments xmlns="http://schemas.openxmlformats.org/spreadsheetml/2006/main">
  <authors>
    <author>Author</author>
  </authors>
  <commentList>
    <comment ref="F7" author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text>
        <r>
          <rPr>
            <sz val="9"/>
            <color indexed="81"/>
            <rFont val="Tahoma"/>
            <family val="2"/>
          </rPr>
          <t>Biomedical research often is not reliable. Enter your expected probability that the developmental impact found by Miguel and Kremer 2004 actually exists.</t>
        </r>
      </text>
    </comment>
    <comment ref="I8"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L8" authorId="0">
      <text>
        <r>
          <rPr>
            <sz val="9"/>
            <color indexed="81"/>
            <rFont val="Tahoma"/>
            <family val="2"/>
          </rPr>
          <t>Biomedical research often is not reliable. Enter your expected probability that the IQ impact found by studies of iodine actually exists.</t>
        </r>
      </text>
    </comment>
    <comment ref="F9" authorId="0">
      <text>
        <r>
          <rPr>
            <sz val="9"/>
            <color indexed="81"/>
            <rFont val="Tahoma"/>
            <family val="2"/>
          </rPr>
          <t>Miguel and Kremer 2004 found benefits to future income after 2.41 years of treatment, but programs aim to deworm children for 10 years. Enter the proportion of those 10 years that you expect are helpful to children's development.</t>
        </r>
      </text>
    </comment>
    <comment ref="I9" author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L9" authorId="0">
      <text>
        <r>
          <rPr>
            <sz val="9"/>
            <color indexed="81"/>
            <rFont val="Tahoma"/>
            <family val="2"/>
          </rPr>
          <t>Studies of the effects of iodine may have taken place under particularly favorable conditions. Enter the fraction of the effect that those studies found that you expect in typical conditions.</t>
        </r>
      </text>
    </comment>
    <comment ref="C10" authorId="0">
      <text>
        <r>
          <rPr>
            <sz val="9"/>
            <color indexed="81"/>
            <rFont val="Calibri"/>
            <family val="2"/>
          </rPr>
          <t>This is only applied to the proportion that is invested.</t>
        </r>
      </text>
    </comment>
    <comment ref="F10" author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L10" authorId="0">
      <text>
        <r>
          <rPr>
            <sz val="9"/>
            <color indexed="81"/>
            <rFont val="Tahoma"/>
            <family val="2"/>
          </rPr>
          <t>Enter the proportion by which you think ICCIDD/GAIN may leverage government funds for iodine fortification.</t>
        </r>
      </text>
    </comment>
    <comment ref="F11" author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L11" authorId="0">
      <text>
        <r>
          <rPr>
            <sz val="9"/>
            <color indexed="81"/>
            <rFont val="Tahoma"/>
            <family val="2"/>
          </rPr>
          <t>There is some evidence that IQ increases fade out over time. Enter the proportion of the effect that you think actually persists over time.</t>
        </r>
      </text>
    </comment>
    <comment ref="L12" authorId="0">
      <text>
        <r>
          <rPr>
            <sz val="9"/>
            <color indexed="81"/>
            <rFont val="Tahoma"/>
            <family val="2"/>
          </rPr>
          <t>Enter the proportion of households that previously weren't getting iodized salt that now will as a result of national salt iodization.</t>
        </r>
      </text>
    </comment>
    <comment ref="L13" authorId="0">
      <text>
        <r>
          <rPr>
            <sz val="9"/>
            <color indexed="81"/>
            <rFont val="Tahoma"/>
            <family val="2"/>
          </rPr>
          <t>Enter the probability that GAIN or ICCIDD are causing salt iodization that wouldn't have happened anyway.</t>
        </r>
      </text>
    </comment>
    <comment ref="I14" authorId="0">
      <text>
        <r>
          <rPr>
            <sz val="9"/>
            <color indexed="81"/>
            <rFont val="Tahoma"/>
            <family val="2"/>
          </rPr>
          <t>The long term benefits of deworming likely only accrue to children. Short term health benefits likely impact both children and adults.</t>
        </r>
      </text>
    </comment>
    <comment ref="L14" authorId="0">
      <text>
        <r>
          <rPr>
            <sz val="9"/>
            <color indexed="81"/>
            <rFont val="Tahoma"/>
            <family val="2"/>
          </rPr>
          <t>Studies have found that iodine increases IQ, but it is possible that in developing countries increased IQ does not lead to actual improvements in quality of life. (E.g. Baird et al 2012 found no effect of deworming on non-wage earners, even though wage earners were better off, presumably do to some developmental, possibly mental, effects of deworming). Enter the percentage of children who's quality of life you expect will actually benefit from the effects of iodine.</t>
        </r>
      </text>
    </comment>
    <comment ref="I15" authorId="0">
      <text>
        <r>
          <rPr>
            <sz val="9"/>
            <color indexed="81"/>
            <rFont val="Tahoma"/>
            <family val="2"/>
          </rPr>
          <t xml:space="preserve">The long term benefits of deworming likely only accrue to children. Short term health benefits likely impact both children and adults. </t>
        </r>
      </text>
    </comment>
    <comment ref="L15" authorId="0">
      <text>
        <r>
          <rPr>
            <sz val="9"/>
            <color indexed="81"/>
            <rFont val="Tahoma"/>
            <family val="2"/>
          </rPr>
          <t>Note that studies of iodine have found increases in IQ, not wages. Here we use wages for comparison to deworming, relying on an assumption that there is a connection. Enter the expected increase in wages from having sufficient iodine throughout childhood (more specifically, the equivalent wage increase to the IQ benefit you expect).</t>
        </r>
      </text>
    </comment>
  </commentList>
</comments>
</file>

<file path=xl/comments8.xml><?xml version="1.0" encoding="utf-8"?>
<comments xmlns="http://schemas.openxmlformats.org/spreadsheetml/2006/main">
  <authors>
    <author>Author</author>
  </authors>
  <commentList>
    <comment ref="F7" author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text>
        <r>
          <rPr>
            <sz val="9"/>
            <color indexed="81"/>
            <rFont val="Tahoma"/>
            <family val="2"/>
          </rPr>
          <t>Biomedical research often is not reliable. Enter your expected probability that the developmental impact found by Miguel and Kremer 2004 actually exists.</t>
        </r>
      </text>
    </comment>
    <comment ref="I8"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L8" authorId="0">
      <text>
        <r>
          <rPr>
            <sz val="9"/>
            <color indexed="81"/>
            <rFont val="Tahoma"/>
            <family val="2"/>
          </rPr>
          <t>Biomedical research often is not reliable. Enter your expected probability that the IQ impact found by studies of iodine actually exists.</t>
        </r>
      </text>
    </comment>
    <comment ref="F9" authorId="0">
      <text>
        <r>
          <rPr>
            <sz val="9"/>
            <color indexed="81"/>
            <rFont val="Tahoma"/>
            <family val="2"/>
          </rPr>
          <t>Miguel and Kremer 2004 found benefits to future income after 2.41 years of treatment, but programs aim to deworm children for 10 years. Enter the proportion of those 10 years that you expect are helpful to children's development.</t>
        </r>
      </text>
    </comment>
    <comment ref="I9" author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L9" authorId="0">
      <text>
        <r>
          <rPr>
            <sz val="9"/>
            <color indexed="81"/>
            <rFont val="Tahoma"/>
            <family val="2"/>
          </rPr>
          <t>Studies of the effects of iodine may have taken place under particularly favorable conditions. Enter the fraction of the effect that those studies found that you expect in typical conditions.</t>
        </r>
      </text>
    </comment>
    <comment ref="C10" authorId="0">
      <text>
        <r>
          <rPr>
            <sz val="9"/>
            <color indexed="81"/>
            <rFont val="Calibri"/>
            <family val="2"/>
          </rPr>
          <t>This is only applied to the proportion that is invested.</t>
        </r>
      </text>
    </comment>
    <comment ref="F10" author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L10" authorId="0">
      <text>
        <r>
          <rPr>
            <sz val="9"/>
            <color indexed="81"/>
            <rFont val="Tahoma"/>
            <family val="2"/>
          </rPr>
          <t>Enter the proportion by which you think ICCIDD/GAIN may leverage government funds for iodine fortification.</t>
        </r>
      </text>
    </comment>
    <comment ref="F11" author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L11" authorId="0">
      <text>
        <r>
          <rPr>
            <sz val="9"/>
            <color indexed="81"/>
            <rFont val="Tahoma"/>
            <family val="2"/>
          </rPr>
          <t>There is some evidence that IQ increases fade out over time. Enter the proportion of the effect that you think actually persists over time.</t>
        </r>
      </text>
    </comment>
    <comment ref="L12" authorId="0">
      <text>
        <r>
          <rPr>
            <sz val="9"/>
            <color indexed="81"/>
            <rFont val="Tahoma"/>
            <family val="2"/>
          </rPr>
          <t>Enter the proportion of households that previously weren't getting iodized salt that now will as a result of national salt iodization.</t>
        </r>
      </text>
    </comment>
    <comment ref="L13" authorId="0">
      <text>
        <r>
          <rPr>
            <sz val="9"/>
            <color indexed="81"/>
            <rFont val="Tahoma"/>
            <family val="2"/>
          </rPr>
          <t>Enter the probability that GAIN or ICCIDD are causing salt iodization that wouldn't have happened anyway.</t>
        </r>
      </text>
    </comment>
    <comment ref="C14" authorId="0">
      <text>
        <r>
          <rPr>
            <b/>
            <sz val="9"/>
            <color indexed="81"/>
            <rFont val="Tahoma"/>
            <charset val="1"/>
          </rPr>
          <t>Author:</t>
        </r>
        <r>
          <rPr>
            <sz val="9"/>
            <color indexed="81"/>
            <rFont val="Tahoma"/>
            <family val="2"/>
          </rPr>
          <t xml:space="preserve">
Length of capital investments (e.g. iron roofs)</t>
        </r>
      </text>
    </comment>
    <comment ref="I14" authorId="0">
      <text>
        <r>
          <rPr>
            <sz val="9"/>
            <color indexed="81"/>
            <rFont val="Tahoma"/>
            <family val="2"/>
          </rPr>
          <t>The long term benefits of deworming likely only accrue to children. Short term health benefits likely impact both children and adults.</t>
        </r>
      </text>
    </comment>
    <comment ref="L14" authorId="0">
      <text>
        <r>
          <rPr>
            <sz val="9"/>
            <color indexed="81"/>
            <rFont val="Tahoma"/>
            <family val="2"/>
          </rPr>
          <t>Studies have found that iodine increases IQ, but it is possible that in developing countries increased IQ does not lead to actual improvements in quality of life. (E.g. Baird et al 2012 found no effect of deworming on non-wage earners, even though wage earners were better off, presumably do to some developmental, possibly mental, effects of deworming). Enter the percentage of children who's quality of life you expect will actually benefit from the effects of iodine.</t>
        </r>
      </text>
    </comment>
    <comment ref="I15" authorId="0">
      <text>
        <r>
          <rPr>
            <sz val="9"/>
            <color indexed="81"/>
            <rFont val="Tahoma"/>
            <family val="2"/>
          </rPr>
          <t xml:space="preserve">The long term benefits of deworming likely only accrue to children. Short term health benefits likely impact both children and adults. </t>
        </r>
      </text>
    </comment>
    <comment ref="L15" authorId="0">
      <text>
        <r>
          <rPr>
            <sz val="9"/>
            <color indexed="81"/>
            <rFont val="Tahoma"/>
            <family val="2"/>
          </rPr>
          <t>Note that studies of iodine have found increases in IQ, not wages. Here we use wages for comparison to deworming, relying on an assumption that there is a connection. Enter the expected increase in wages from having sufficient iodine throughout childhood (more specifically, the equivalent wage increase to the IQ benefit you expect).</t>
        </r>
      </text>
    </comment>
  </commentList>
</comments>
</file>

<file path=xl/comments9.xml><?xml version="1.0" encoding="utf-8"?>
<comments xmlns="http://schemas.openxmlformats.org/spreadsheetml/2006/main">
  <authors>
    <author>Author</author>
  </authors>
  <commentList>
    <comment ref="F7" author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text>
        <r>
          <rPr>
            <sz val="9"/>
            <color indexed="81"/>
            <rFont val="Tahoma"/>
            <family val="2"/>
          </rPr>
          <t>Biomedical research often is not reliable. Enter your expected probability that the developmental impact found by Miguel and Kremer 2004 actually exists.</t>
        </r>
      </text>
    </comment>
    <comment ref="I8" author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L8" authorId="0">
      <text>
        <r>
          <rPr>
            <sz val="9"/>
            <color indexed="81"/>
            <rFont val="Tahoma"/>
            <family val="2"/>
          </rPr>
          <t>Biomedical research often is not reliable. Enter your expected probability that the IQ impact found by studies of iodine actually exists.</t>
        </r>
      </text>
    </comment>
    <comment ref="F9" authorId="0">
      <text>
        <r>
          <rPr>
            <sz val="9"/>
            <color indexed="81"/>
            <rFont val="Tahoma"/>
            <family val="2"/>
          </rPr>
          <t>Miguel and Kremer 2004 found benefits to future income after 2.41 years of treatment, but programs aim to deworm children for 10 years. Enter the proportion of those 10 years that you expect are helpful to children's development.</t>
        </r>
      </text>
    </comment>
    <comment ref="I9" author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L9" authorId="0">
      <text>
        <r>
          <rPr>
            <sz val="9"/>
            <color indexed="81"/>
            <rFont val="Tahoma"/>
            <family val="2"/>
          </rPr>
          <t>Studies of the effects of iodine may have taken place under particularly favorable conditions. Enter the fraction of the effect that those studies found that you expect in typical conditions.</t>
        </r>
      </text>
    </comment>
    <comment ref="C10" authorId="0">
      <text>
        <r>
          <rPr>
            <sz val="9"/>
            <color indexed="81"/>
            <rFont val="Calibri"/>
            <family val="2"/>
          </rPr>
          <t>This is only applied to the proportion that is invested.</t>
        </r>
      </text>
    </comment>
    <comment ref="F10" author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L10" authorId="0">
      <text>
        <r>
          <rPr>
            <sz val="9"/>
            <color indexed="81"/>
            <rFont val="Tahoma"/>
            <family val="2"/>
          </rPr>
          <t>Enter the proportion by which you think ICCIDD/GAIN may leverage government funds for iodine fortification.</t>
        </r>
      </text>
    </comment>
    <comment ref="F11" author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L11" authorId="0">
      <text>
        <r>
          <rPr>
            <sz val="9"/>
            <color indexed="81"/>
            <rFont val="Tahoma"/>
            <family val="2"/>
          </rPr>
          <t>There is some evidence that IQ increases fade out over time. Enter the proportion of the effect that you think actually persists over time.</t>
        </r>
      </text>
    </comment>
    <comment ref="L12" authorId="0">
      <text>
        <r>
          <rPr>
            <sz val="9"/>
            <color indexed="81"/>
            <rFont val="Tahoma"/>
            <family val="2"/>
          </rPr>
          <t>Enter the proportion of households that previously weren't getting iodized salt that now will as a result of national salt iodization.</t>
        </r>
      </text>
    </comment>
    <comment ref="L13" authorId="0">
      <text>
        <r>
          <rPr>
            <sz val="9"/>
            <color indexed="81"/>
            <rFont val="Tahoma"/>
            <family val="2"/>
          </rPr>
          <t>Enter the probability that GAIN or ICCIDD are causing salt iodization that wouldn't have happened anyway.</t>
        </r>
      </text>
    </comment>
    <comment ref="I14" authorId="0">
      <text>
        <r>
          <rPr>
            <sz val="9"/>
            <color indexed="81"/>
            <rFont val="Tahoma"/>
            <family val="2"/>
          </rPr>
          <t>The long term benefits of deworming likely only accrue to children. Short term health benefits likely impact both children and adults.</t>
        </r>
      </text>
    </comment>
    <comment ref="L14" authorId="0">
      <text>
        <r>
          <rPr>
            <sz val="9"/>
            <color indexed="81"/>
            <rFont val="Tahoma"/>
            <family val="2"/>
          </rPr>
          <t>Studies have found that iodine increases IQ, but it is possible that in developing countries increased IQ does not lead to actual improvements in quality of life. (E.g. Baird et al 2012 found no effect of deworming on non-wage earners, even though wage earners were better off, presumably do to some developmental, possibly mental, effects of deworming). Enter the percentage of children who's quality of life you expect will actually benefit from the effects of iodine.</t>
        </r>
      </text>
    </comment>
    <comment ref="I15" authorId="0">
      <text>
        <r>
          <rPr>
            <sz val="9"/>
            <color indexed="81"/>
            <rFont val="Tahoma"/>
            <family val="2"/>
          </rPr>
          <t xml:space="preserve">The long term benefits of deworming likely only accrue to children. Short term health benefits likely impact both children and adults. </t>
        </r>
      </text>
    </comment>
    <comment ref="L15" authorId="0">
      <text>
        <r>
          <rPr>
            <sz val="9"/>
            <color indexed="81"/>
            <rFont val="Tahoma"/>
            <family val="2"/>
          </rPr>
          <t>Note that studies of iodine have found increases in IQ, not wages. Here we use wages for comparison to deworming, relying on an assumption that there is a connection. Enter the expected increase in wages from having sufficient iodine throughout childhood (more specifically, the equivalent wage increase to the IQ benefit you expect).</t>
        </r>
      </text>
    </comment>
  </commentList>
</comments>
</file>

<file path=xl/sharedStrings.xml><?xml version="1.0" encoding="utf-8"?>
<sst xmlns="http://schemas.openxmlformats.org/spreadsheetml/2006/main" count="1555" uniqueCount="341">
  <si>
    <t>Discount rate</t>
  </si>
  <si>
    <t>Duration of benefits of cash transfers (years)</t>
  </si>
  <si>
    <t>Short term health benefits of deworming (DALYs per person treated)</t>
  </si>
  <si>
    <t>ROI, cash transfers</t>
  </si>
  <si>
    <t>External validity of deworming research</t>
  </si>
  <si>
    <t>% of transfers invested</t>
  </si>
  <si>
    <t>Replicability adjustment for  deworming</t>
  </si>
  <si>
    <r>
      <t xml:space="preserve">Cost per person dewormed - </t>
    </r>
    <r>
      <rPr>
        <b/>
        <i/>
        <sz val="8"/>
        <color indexed="8"/>
        <rFont val="Calibri"/>
        <family val="2"/>
      </rPr>
      <t>SCI</t>
    </r>
  </si>
  <si>
    <r>
      <t xml:space="preserve">Prevalence/ intensity adjustment - </t>
    </r>
    <r>
      <rPr>
        <b/>
        <i/>
        <sz val="8"/>
        <color indexed="8"/>
        <rFont val="Calibri"/>
        <family val="2"/>
      </rPr>
      <t>DtW</t>
    </r>
  </si>
  <si>
    <r>
      <t xml:space="preserve">Prevalence/ intensity adjustment - </t>
    </r>
    <r>
      <rPr>
        <b/>
        <i/>
        <sz val="8"/>
        <color indexed="8"/>
        <rFont val="Calibri"/>
        <family val="2"/>
      </rPr>
      <t>SCI</t>
    </r>
  </si>
  <si>
    <r>
      <t xml:space="preserve">Proportion of deworming going to children - </t>
    </r>
    <r>
      <rPr>
        <b/>
        <i/>
        <sz val="8"/>
        <color indexed="8"/>
        <rFont val="Calibri"/>
        <family val="2"/>
      </rPr>
      <t xml:space="preserve"> SCI</t>
    </r>
  </si>
  <si>
    <r>
      <t xml:space="preserve">Proportion of deworming going to children - </t>
    </r>
    <r>
      <rPr>
        <b/>
        <i/>
        <sz val="8"/>
        <color indexed="8"/>
        <rFont val="Calibri"/>
        <family val="2"/>
      </rPr>
      <t xml:space="preserve"> DtW</t>
    </r>
  </si>
  <si>
    <t>General</t>
  </si>
  <si>
    <t>Deworming - general</t>
  </si>
  <si>
    <t>Cash transfers</t>
  </si>
  <si>
    <t>Proportion of dewormed children that end up working for wages</t>
  </si>
  <si>
    <t>Years of deworming treatment in Miguel and Kremer 2004</t>
  </si>
  <si>
    <t>Size of transfer</t>
  </si>
  <si>
    <t>Size of transfer per person</t>
  </si>
  <si>
    <t>Transfers as a percentage of total cost</t>
  </si>
  <si>
    <t>Values:</t>
  </si>
  <si>
    <t>Source:</t>
  </si>
  <si>
    <t>Baird et al 2012</t>
  </si>
  <si>
    <t>http://www.givewell.org/node/2202#Grantstructure</t>
  </si>
  <si>
    <t>Treatment effect of deworming on Ln(total labor earnings)</t>
  </si>
  <si>
    <t>Cost per person-year of protection for under 14's</t>
  </si>
  <si>
    <t xml:space="preserve">Baseline annual consumption per capita </t>
  </si>
  <si>
    <t>Average family size of cash transfer recipients</t>
  </si>
  <si>
    <r>
      <t xml:space="preserve">Cost per person dewormed - </t>
    </r>
    <r>
      <rPr>
        <b/>
        <i/>
        <sz val="8"/>
        <color indexed="8"/>
        <rFont val="Calibri"/>
        <family val="2"/>
      </rPr>
      <t>DtW</t>
    </r>
  </si>
  <si>
    <t>Fixed assumptions</t>
  </si>
  <si>
    <t>Present value of the sum of the lifetime benefits per worker  (in terms of Ln(income))</t>
  </si>
  <si>
    <t>Adjusted per person total benefits (Ln(income))</t>
  </si>
  <si>
    <t>SCI</t>
  </si>
  <si>
    <t>DtW</t>
  </si>
  <si>
    <t>Proportional increase in consumption per dollar</t>
  </si>
  <si>
    <t>Increase in current consumption from spending the transfer (Ln(income))</t>
  </si>
  <si>
    <t>Present value of net increase in current and future consumption</t>
  </si>
  <si>
    <t>The cost of saving a life through bednets buys you this many person-years of increasing ln(income) by 1:</t>
  </si>
  <si>
    <t>Bednets</t>
  </si>
  <si>
    <t>DTW</t>
  </si>
  <si>
    <t>Deworming (charity specific)</t>
  </si>
  <si>
    <t>DtW is</t>
  </si>
  <si>
    <t>times as cost effective as cash transfers</t>
  </si>
  <si>
    <t>SCI is</t>
  </si>
  <si>
    <t>Deworm the World</t>
  </si>
  <si>
    <t>Schistosomiasisis Control Initiative:</t>
  </si>
  <si>
    <t>Deworm the World:</t>
  </si>
  <si>
    <t xml:space="preserve">Input values here: </t>
  </si>
  <si>
    <t>Dollars of benefit per dollar spent, cash</t>
  </si>
  <si>
    <t>Notes</t>
  </si>
  <si>
    <t>Cash</t>
  </si>
  <si>
    <t>ROI of cash transfers</t>
  </si>
  <si>
    <t>Shared</t>
  </si>
  <si>
    <t>Discount Rate</t>
  </si>
  <si>
    <t>Arbitrary low assumption</t>
  </si>
  <si>
    <t>Kenyan government discount rate calculated by Baird et al 2012</t>
  </si>
  <si>
    <t>External validity adjustment for deworming research</t>
  </si>
  <si>
    <t>http://www.givewell.org/files/DWDA%202009/Interventions/Deworming/Miguel%20Kremer%20Worms%20-%20Identifying%20Impacts%20on%20Education%20and%20Health%20in%20the%20Presence%20of%20Treatment%20Externalities.pdf</t>
  </si>
  <si>
    <t>Proportion of child-years that are as helpful (in terms of developmental effects) as the specific years in the study  for deworming</t>
  </si>
  <si>
    <t>SCI-specific</t>
  </si>
  <si>
    <t>Cost per person</t>
  </si>
  <si>
    <t>Proportion of deworming going to children</t>
  </si>
  <si>
    <t>Prevalence/intensity adjustment</t>
  </si>
  <si>
    <t>DtW-specific</t>
  </si>
  <si>
    <t>Deworming</t>
  </si>
  <si>
    <t>Duration of benefits in years</t>
  </si>
  <si>
    <t>http://www.givewell.org/international/top-charities/give-directly</t>
  </si>
  <si>
    <t>Average family size</t>
  </si>
  <si>
    <t>Baseline annual consumption per capita, USD</t>
  </si>
  <si>
    <t>Cost per death averted, total cost, baseline scenario</t>
  </si>
  <si>
    <t>Cost per person-year of protection: under-14's only, total cost, baseline scenario</t>
  </si>
  <si>
    <t>Person-years of protection for children under 14; Likely to have similar benefits to deworming</t>
  </si>
  <si>
    <t>Cash revised</t>
  </si>
  <si>
    <t>http://web.mit.edu/joha/www/publications/Haushofer_Shapiro_Policy_Brief_UCT_2013.10.22.pdf</t>
  </si>
  <si>
    <t>Large transfer size, USD</t>
  </si>
  <si>
    <t>Small transfer size, USD</t>
  </si>
  <si>
    <t>PPP multiplier</t>
  </si>
  <si>
    <t>Large transfer size population (HH)</t>
  </si>
  <si>
    <t>Small transfer population (HH)</t>
  </si>
  <si>
    <t>Mean transfer, USD</t>
  </si>
  <si>
    <t>Mean transfer, USD PPP</t>
  </si>
  <si>
    <t>Roof cost, USD PPP</t>
  </si>
  <si>
    <t>Control group per capita monthly consumption, USD</t>
  </si>
  <si>
    <t>Control group per capita annual consumption, USD</t>
  </si>
  <si>
    <t>Min</t>
  </si>
  <si>
    <t>Max</t>
  </si>
  <si>
    <t>http://www.givewell.org/international/technical/programs/cash-transfers#Whatreturnoninvestmentdocashtransferrecipientsearn</t>
  </si>
  <si>
    <t>http://www.givewell.org/node/2218#Moredetailontwostudiesoflargeunconditionaltransfers</t>
  </si>
  <si>
    <t>Gertler, Martinez, and Rubio-Codina (2012)</t>
  </si>
  <si>
    <t>de Mel, McKenzie, and Woodruff </t>
  </si>
  <si>
    <t>Fafchamps et al. (2011)</t>
  </si>
  <si>
    <t>ROI was not explicitly estimated, but likely would have been statistically indistinguishable from 0</t>
  </si>
  <si>
    <t>McKenzie and Woodruff 2008</t>
  </si>
  <si>
    <t>Blattman, Fiala, and Martinez 2013</t>
  </si>
  <si>
    <t>Blattman et al 2013</t>
  </si>
  <si>
    <t>Preferred estimate</t>
  </si>
  <si>
    <t>Percentage of transfers invested</t>
  </si>
  <si>
    <t>http://www.givewell.org/files/DWDA%202009/Interventions/Deworming/MK%20Reanalysis/KLPS-Labor_2012-08-05.pdf</t>
  </si>
  <si>
    <t>Miguel and Kremer 2004</t>
  </si>
  <si>
    <t>Source/notes (see sheet "Sources referenced" for links to sources)</t>
  </si>
  <si>
    <t>Assumes that the magnitude of the results found by Miguel and Kremer 2004 can be expected in other locations</t>
  </si>
  <si>
    <t>Assumes that SCI deworms each child for 10 years, but that only 2.41 (# years in study) are needed to realize benefits</t>
  </si>
  <si>
    <t>Assumes that every year of deworming is as beneficial as each year in the study</t>
  </si>
  <si>
    <t>http://www.plosmedicine.org/article/info:doi/10.1371/journal.pmed.0020124</t>
  </si>
  <si>
    <t>Ioannidis 2005, "Why Most Published Research Findings Are False"</t>
  </si>
  <si>
    <t>Deworm the World's program is targeted entirely at children</t>
  </si>
  <si>
    <t>ALB analysis.html</t>
  </si>
  <si>
    <r>
      <t xml:space="preserve">Proportion of work not already taken care of by LF treatment - </t>
    </r>
    <r>
      <rPr>
        <b/>
        <i/>
        <sz val="8"/>
        <color theme="1"/>
        <rFont val="Calibri"/>
        <family val="2"/>
        <scheme val="minor"/>
      </rPr>
      <t>DtW</t>
    </r>
  </si>
  <si>
    <t>Proportion of work not already taken care of by LF treatment - DtW</t>
  </si>
  <si>
    <t>Accounts for the fact that in some places in which DtW works, treatment for Lymphatic Filariasis, which uses similar drugs, may render DtW's work unnecessary</t>
  </si>
  <si>
    <t>Years of treatment assigned in the Miguel and Kremer 2004 study</t>
  </si>
  <si>
    <t>Baird et al 2012 - Assumes that in general, the same proportion of children end up working for wages as in the study</t>
  </si>
  <si>
    <r>
      <t xml:space="preserve">Treatment effect of deworming on </t>
    </r>
    <r>
      <rPr>
        <sz val="11"/>
        <color indexed="8"/>
        <rFont val="Calibri"/>
        <family val="2"/>
        <scheme val="minor"/>
      </rPr>
      <t>Ln(Total labor earnings), monthly</t>
    </r>
  </si>
  <si>
    <t>Taken from Haushofer and Shapiro study (see cell C66)</t>
  </si>
  <si>
    <t>Derived using the fact that the authors equate 1085 USD with 1,525 PPP</t>
  </si>
  <si>
    <t>Control group household monthly consumption, USD PPP</t>
  </si>
  <si>
    <t>Control group household monthly consumption, USD</t>
  </si>
  <si>
    <t>Long-term ROI of cash transfers - evidence from randomized controlled trials</t>
  </si>
  <si>
    <t>For links to these RCTs of cash transfers, see:</t>
  </si>
  <si>
    <t>and:</t>
  </si>
  <si>
    <t>Combines certain of the studies (see formula in cell)</t>
  </si>
  <si>
    <t>These results have been divided by two in both cases to account for the fact that only male business owners experienced benefits. Monthly result multiplied by 12.</t>
  </si>
  <si>
    <t>High attrition, some issues with identification, and limited sample (including only men). Monthly result multiplied by 12.</t>
  </si>
  <si>
    <t>Same as deworming</t>
  </si>
  <si>
    <t>Low end estimate</t>
  </si>
  <si>
    <t>From "Cost Effectiveness of LLIN Distribution"</t>
  </si>
  <si>
    <t>"Cost Effectiveness of LLIN Distribution"</t>
  </si>
  <si>
    <t>DCP2 Spreadsheet</t>
  </si>
  <si>
    <t>Same as Possibility 1 but 3% discount rate</t>
  </si>
  <si>
    <t>Same as Possibility 1 but 0% discount rate</t>
  </si>
  <si>
    <t>http://www.givewell.org/files/DWDA%202009/Interventions/Deworming/Cost-effectiveness%20for%20deworming.xls</t>
  </si>
  <si>
    <t>Proportion of work not already taken care of by LF treatment - SCI</t>
  </si>
  <si>
    <t>This adjustment is more important for DtW, but there is some possibility of SCI's work overlapping with existing LF treatment</t>
  </si>
  <si>
    <t>Year</t>
  </si>
  <si>
    <t>Initial balance</t>
  </si>
  <si>
    <t>Cash flow from initial spending</t>
  </si>
  <si>
    <t>Cash flow from investment return</t>
  </si>
  <si>
    <t>End of year balance</t>
  </si>
  <si>
    <t>Total annual additional income</t>
  </si>
  <si>
    <t>Total annual income in ln terms</t>
  </si>
  <si>
    <t>"Cost Effectiveness of LLIN Distribution" spreadsheet</t>
  </si>
  <si>
    <t>Sum of benefits from year 1 onward</t>
  </si>
  <si>
    <t>Net Cost spreadsheet</t>
  </si>
  <si>
    <t>Best guess; based on general returns to investment</t>
  </si>
  <si>
    <t>Adjusting for the fact that worm prevalence was much higher in the area of study in year 2 of Miguel and Kremer 2004 than in year 1 (likely from El Nino effects)</t>
  </si>
  <si>
    <t xml:space="preserve">Adjusting based on prevalence of moderate-heavy schistosomiasis infections from MK 2004 using an odds-ratio form; see http://www.givewell.org/international/technical/programs/deworming/reanalysis#Externalvalidity. The numbers in the formula in the cell are .07 (schistosomiasis prevalence pre-treatment, from pg 168), and .4, the "true" rate of infection without treatment, calculated as .18 (control group's prevalence after the treatment) plus .22, the reduction the control group experienced due to externalities from the treatment group (see Miguel and Kremer Deworming DALY calcuation, "Effect on Pupils in Untreated Schools"). </t>
  </si>
  <si>
    <t>Lower income value per DALY</t>
  </si>
  <si>
    <t>Conservative - assumes negative return after discounting</t>
  </si>
  <si>
    <t>Reasonable high end estimate, based roughly on roof ROI</t>
  </si>
  <si>
    <t>Rough midpoint</t>
  </si>
  <si>
    <t>Short term health benefits, in DALY terms</t>
  </si>
  <si>
    <t>1 DALY is equivalent to increasing ln(income) for one year by this many units:</t>
  </si>
  <si>
    <t>Replicability adjustment (applies to deworming but not cash)</t>
  </si>
  <si>
    <t>Lower end of Ioannidis 2005's theoretical replicability (Table 4 in http://www.plosmedicine.org/article/info:doi/10.1371/journal.pmed.0020124): "Underpowered but well-performed Phase I/II RCT"</t>
  </si>
  <si>
    <t>High end of Ioannidis 2005's theoretical replicability (Table 4 in http://www.plosmedicine.org/article/info:doi/10.1371/journal.pmed.0020124): "Adequately powered RCT with little bias and 1:1 pre-study odds"</t>
  </si>
  <si>
    <t>Arbitrary choice, meant to balance the possibility that there is an offsetting effect with the possibility of increasing marginal returns and the relative lack of evidence that this is a problem</t>
  </si>
  <si>
    <t>Increased asset value, large transfer, PPP</t>
  </si>
  <si>
    <t>Increased monthly consumption, large transfer, PPP</t>
  </si>
  <si>
    <t>http://web.mit.edu/joha/www/publications/Haushofer_Shapiro_UCT_Online_Appendix_2013.11.15.pdf</t>
  </si>
  <si>
    <t>http://web.mit.edu/joha/www/publications/haushofer_shapiro_uct_2013.11.16.pdf</t>
  </si>
  <si>
    <t>Estimated roof IRR, assuming 20 year lifetime</t>
  </si>
  <si>
    <t>Simple roof IRR, assuming infinite lifetime</t>
  </si>
  <si>
    <t>Calculation</t>
  </si>
  <si>
    <t>Reported roof ROI</t>
  </si>
  <si>
    <r>
      <rPr>
        <sz val="11"/>
        <rFont val="Calibri"/>
        <family val="2"/>
        <scheme val="minor"/>
      </rPr>
      <t xml:space="preserve">Rough estimate from David Barry: "the value of a statistical life in high-income countries is measured in the millions of dollars; call it 90 times the average income. I will therefore value statistical lives in low-income countries at about 90 times the average income. An actual life saved by malaria bednets gives the child, on average, about another 50 years of life; 50 years discounted gives something like 30 years; a DALY is therefore worth something like 90/30 = 3 times an average income." see </t>
    </r>
    <r>
      <rPr>
        <u/>
        <sz val="11"/>
        <color theme="10"/>
        <rFont val="Calibri"/>
        <family val="2"/>
        <scheme val="minor"/>
      </rPr>
      <t>http://blog.givewell.org/2013/01/23/guest-post-from-david-barry-about-deworming-cost-effectiveness/ ;  this is also close to our previously calculated value</t>
    </r>
  </si>
  <si>
    <t>Based on the idea that research findings are often not replicable</t>
  </si>
  <si>
    <t>Moderately conservative</t>
  </si>
  <si>
    <t>Moderately aggressive</t>
  </si>
  <si>
    <t>Discounted to the present</t>
  </si>
  <si>
    <t>Aggressive; average of lower and upper bounds from RCTs (see below on this sheet)</t>
  </si>
  <si>
    <t>Name</t>
  </si>
  <si>
    <t>I21</t>
  </si>
  <si>
    <t>DALYs per life</t>
  </si>
  <si>
    <t>Lives saved per $1000 - excluding minor health benefits</t>
  </si>
  <si>
    <t>Lives saved per $1000 - minor health benefits</t>
  </si>
  <si>
    <t>Lives saved per $1000 - total</t>
  </si>
  <si>
    <t>Relative value of developmental benefits to saving a life</t>
  </si>
  <si>
    <t>% of years of childhood in which deworming is helpful for development</t>
  </si>
  <si>
    <t xml:space="preserve">Cost per life saved for bednets </t>
  </si>
  <si>
    <t>Present value of the sum of future benefits from cash transfers (ln income)</t>
  </si>
  <si>
    <t>Used in DCP2 spreadsheet, considers a permanent 25% increase in income (the developmental gains from deworming) for ~40 people starting in adulthood to be roughly as valuable as saving a life of a young person</t>
  </si>
  <si>
    <t>Lopez et al. 2006</t>
  </si>
  <si>
    <t>Baird et al. 2012</t>
  </si>
  <si>
    <t>http://www.givewell.org/files/DWDA%202009/Interventions/Global%20Burden%20of%20Disease%20and%20Risk%20Factors.pdf</t>
  </si>
  <si>
    <t>Cost per equivalent life saved</t>
  </si>
  <si>
    <t>From Lopez et al. 2006, Table 5.1 pg 402. This number is the average of male and female life expectancy at age 5, using 3% discounting and standard age weights (valuinge years in the middle of the life cycle more highly).</t>
  </si>
  <si>
    <t>1 DALY is equivalent to increasing ln(income) by one unit for how many years:</t>
  </si>
  <si>
    <t>I22</t>
  </si>
  <si>
    <t>I23</t>
  </si>
  <si>
    <t>I24</t>
  </si>
  <si>
    <t>G27</t>
  </si>
  <si>
    <t>___ times as cost effective as cash transfers</t>
  </si>
  <si>
    <t>Annual cost of repairs and replacements for a thatched roof, USD PPP</t>
  </si>
  <si>
    <t>For more, see:</t>
  </si>
  <si>
    <t>http://www.givewell.org/international/technical/programs/cash-transfers/#Whatreturnoninvestmentdocashtransferrecipientsearn</t>
  </si>
  <si>
    <t>http://www.givewell.org/international/technical/programs/deworming/reanalysis#Externalvalidity</t>
  </si>
  <si>
    <t>All include government costs as 30%</t>
  </si>
  <si>
    <t>Unpublished</t>
  </si>
  <si>
    <t>Miguel and Kremer Deworming DALY calcuation (Miguel &amp; Kremer Deworming DALY Calculation Updated 2011.10.28)</t>
  </si>
  <si>
    <t>Worms at Work Spreadsheet (worms-at-work_Table 4_2012-08-02_final)</t>
  </si>
  <si>
    <t>Original AMF data available here: http://www.againstmalaria.com/FinancialInformation.aspx</t>
  </si>
  <si>
    <t>Some documents contain researchers' unpublished data and cannot be published</t>
  </si>
  <si>
    <t>http://www.givewell.org/files/DWDA%202009/Interventions/Nets/Cost-effectiveness%20analysis%20for%20LLIN%20distribution%20updated%20for%202013.xls</t>
  </si>
  <si>
    <t>http://www.givewell.org/files/DWDA%202009/Interventions/Nets/GiveWell%20net%20cost%20estimates%202013.xls</t>
  </si>
  <si>
    <r>
      <t xml:space="preserve">Leverage (dollar of impact per dollar spent) - </t>
    </r>
    <r>
      <rPr>
        <b/>
        <i/>
        <sz val="8"/>
        <color theme="1"/>
        <rFont val="Calibri"/>
        <family val="2"/>
        <scheme val="minor"/>
      </rPr>
      <t>DtW</t>
    </r>
  </si>
  <si>
    <r>
      <t xml:space="preserve">Leverage (dollar of impact per dollar spent) - </t>
    </r>
    <r>
      <rPr>
        <b/>
        <i/>
        <sz val="8"/>
        <color theme="1"/>
        <rFont val="Calibri"/>
        <family val="2"/>
        <scheme val="minor"/>
      </rPr>
      <t>SCI</t>
    </r>
  </si>
  <si>
    <t>Leverage (dollar of impact per dollar spent) - SCI</t>
  </si>
  <si>
    <t>Leverage (dollar of impact per dollar spent) - DtW</t>
  </si>
  <si>
    <t>It is unclear to what extent SCI leverages government funds, if at all</t>
  </si>
  <si>
    <t>http://www.givewell.org/content/working-review-deworm-world-initiative#HowleveragedareDtWIcontributions</t>
  </si>
  <si>
    <t>Iodine</t>
  </si>
  <si>
    <t>Replicability</t>
  </si>
  <si>
    <t>External validity</t>
  </si>
  <si>
    <t>Benefit on one year's income (discounted back 10 years because of delay between deworming and working for income)</t>
  </si>
  <si>
    <t>Sum of the long term benefits per year of treatment (in terms of Ln(income))</t>
  </si>
  <si>
    <t>Short term health benefits (deworming only) in terms of Ln(income)</t>
  </si>
  <si>
    <t>Iodine:</t>
  </si>
  <si>
    <t>Cost per person per year</t>
  </si>
  <si>
    <t>Probability that GAIN/ICCIDD has an impact</t>
  </si>
  <si>
    <t>Household coverage achieved</t>
  </si>
  <si>
    <t>% of children that benefit</t>
  </si>
  <si>
    <t>Baird et al 2012 (Using Intention-to-Treat effect rather than calculating a Treatment-on-the-Treated effect due to externalities complicating calculation of ToT effects. "The ITT approach is also attractive since previous research showed that untreated respondents within treatment communities experienced significant health and education gains (Miguel and Kremer 2004), complicating estimation of treatment effects on the treated. " Baird et al 2012 p. 16)</t>
  </si>
  <si>
    <t>Years of Childhood (for iodine)</t>
  </si>
  <si>
    <t>By definition</t>
  </si>
  <si>
    <t>Equivalent increase in wages from having iodine throughout childhood</t>
  </si>
  <si>
    <t>Percent of population under 15</t>
  </si>
  <si>
    <t>% of benefit of iodine that lasts for the long term</t>
  </si>
  <si>
    <t>Leverage (dollars of impact per dollars spent)</t>
  </si>
  <si>
    <t xml:space="preserve">Iodine is </t>
  </si>
  <si>
    <t>If and only if you prefer saving a life to increasing ln(income) by 1 unit for this many people for one year, you prefer ITN distribution to Iodine:</t>
  </si>
  <si>
    <t>If and only if you prefer saving a life to increasing ln(income) by 1 unit for this many people for one year, you prefer ITN distribution to SCI:</t>
  </si>
  <si>
    <t>If and only if you prefer saving a life to increasing ln(income) by 1 unit for this many people for one year, you prefer ITN distribution to DTW:</t>
  </si>
  <si>
    <t>1. Inputs:</t>
  </si>
  <si>
    <t>2. Calculations:</t>
  </si>
  <si>
    <t>3. Conclusions:</t>
  </si>
  <si>
    <t>4.Comparison to ITNs:</t>
  </si>
  <si>
    <t>Benefits of Deworming</t>
  </si>
  <si>
    <t>Benefits of Iodine</t>
  </si>
  <si>
    <t>2. The adjusted benefits of deworming (for DtW and SCI separately) and iodine are calculated based on relevant factors:</t>
  </si>
  <si>
    <t>3.  Equivalent lives saved by deworming and iodine are calculated:</t>
  </si>
  <si>
    <t>4. The benefits of cash transfers are calculated:</t>
  </si>
  <si>
    <t>"Salt iodization, large producers", Table 1, Horton, Mannar and Wesley 2008, Pg. 22 http://files.givewell.org/files/DWDA%202009/Interventions/Iodine/Horton,%20Mannar%20and%20Wesley%202008.pdf</t>
  </si>
  <si>
    <t>Average</t>
  </si>
  <si>
    <t>http://www.givewell.org/node/2267#Improvingmentalfunction</t>
  </si>
  <si>
    <t>Higher than deworming because there have been 6 RCTs (but &lt;100% because there are some potential limitations of the studies)</t>
  </si>
  <si>
    <t>Pessimistic</t>
  </si>
  <si>
    <t>Optimistic</t>
  </si>
  <si>
    <t>Possibilities (Alexander/Sean of GiveWell's best guess listed first)</t>
  </si>
  <si>
    <t>GiveWell estimate based on recent programs</t>
  </si>
  <si>
    <t>GiveWell estimate based on SCI's projections</t>
  </si>
  <si>
    <t>Assumes SCI is achieving leverage through all drugs being donated (drugs are ~29% of the total costs, see https://docs.google.com/a/givewell.org/spreadsheets/d/1iSefR1kkEcZXYk82rdaHLyktXrEmfqirkNOSQoRdoEk/edit#gid=0)</t>
  </si>
  <si>
    <t>Assumes SCI is achieving leverage through 60% of drugs being donated (drugs are ~29% of the total costs, see https://docs.google.com/a/givewell.org/spreadsheets/d/1iSefR1kkEcZXYk82rdaHLyktXrEmfqirkNOSQoRdoEk/edit#gid=0) "SCI ICOSA Mid-Year Report 2014, Pgs 30-31. GiveWell calculated totals and ratio." projects 60% of drugs will be donated.</t>
  </si>
  <si>
    <t>http://www.givewell.org/node/2369#Whatdoyougetforyourdollar</t>
  </si>
  <si>
    <t>http://www.givewell.org/content/working-review-deworm-world-initiative#WhatproportionofchildrenareinfectedWhatistheintensityoftheseinfections; http://www.givewell.org/node/2369#PlacesDtWIhasworkedvs.locationsofkeydewormingstudies for 2014 report (uses same data)</t>
  </si>
  <si>
    <t>Proportion of dewormed children that benefit from long term gains</t>
  </si>
  <si>
    <t>Baird et al 2012 only found a lasting effect in the group of 16.6% of people that ended up working for wages as adults</t>
  </si>
  <si>
    <t>While Baird et al 2012 found effects only for the 16.6% of wage earners, Croke found an increase in test scores for dewormed children, suggesting that there might be long-term mental benefits that may accrue to more than just wage-earners.</t>
  </si>
  <si>
    <t>DCP2 spreadsheet, "Average" of scenarios, health impacts: % of people impacted times disability weight. Meant to be the percentage of people who benefit multiplied by the disability weight (which represents a # of DALYs) to get the DALYs gained per pill distributed. Since deworming happens every year the length of time for this benefit is just the single year.</t>
  </si>
  <si>
    <r>
      <t>http://www.givewell.org/node/2365#baseline</t>
    </r>
    <r>
      <rPr>
        <sz val="10"/>
        <rFont val="Arial"/>
        <family val="2"/>
      </rPr>
      <t>;see http://www.givewell.org/international/technical/programs/deworming/reanalysis#Externalvalidity for Miguel and Kremer data (but note that's rate of moderate-to-heavy infections, not any infection; underlying data on any infection and epg is unpublished)</t>
    </r>
  </si>
  <si>
    <t>From http://www.givewell.org/node/2267#Improvingmentalfunction : "Fade-out. We are not sure whether the positive effects found in the trials with shorter follow-ups would persist over a longer time horizon.54 It appears that the most prominent discussion of fade-out comes from several long-term evaluations of early childhood education programs, which found that IQ increases fade out over time, though these findings are the subject of dispute.55 We are uncertain to what extent this literature generalizes to iodine supplementation programs. Even if IQ increases fade out, other related benefits may still persist.56"</t>
  </si>
  <si>
    <t>No fade out effect</t>
  </si>
  <si>
    <t>Significant fade out effect.</t>
  </si>
  <si>
    <t xml:space="preserve"> and http://www.givewell.org/international/charities/GAIN</t>
  </si>
  <si>
    <t>From our report on GAIN (http://www.givewell.org/international/charities/GAIN): "We have not seen compelling evidence that rates of salt iodization have increased in the countries GAIN has worked in nor that observed changes should be attributed to GAIN's work. We have looked more closely at four case studies, but the information we have is not fully compelling, in part because GAIN's work is often a few steps removed from the iodization process and because we have only a limited understanding of GAIN's role in each country. "</t>
  </si>
  <si>
    <t>Assumption to account for possibility that increased IQ doesn't lead to a meaningful increase in well-being in impoverished areas</t>
  </si>
  <si>
    <t>Similar to deworming: assumes only wage earners and a minority of others will experience an increase in well-being thanks to IQ benefits of iodine</t>
  </si>
  <si>
    <r>
      <t xml:space="preserve">We expect iodine to give a .25 SD increase in IQ, which is roughly 4 IQ points (from Salt Iodization Intervention Report http://www.givewell.org/node/2267#IQandlifeoutcomes). From DCP2 page 1100: ""For the United States, Zax and Rees (2002) estimate conser- vatively that an increase in IQ of 1 SD is associated with an increase in wages of more than 11 percent, falling to 6 percent when controlling for other covariates. Similar estimates for the relationship between IQ and earnings have been made for Indonesia (Behrman and Deolalikar 1995) and Pakistan (Alderman and others 1997) and in a review of developing countries (Glewwe 2002). In South Africa, an increase of 1 SD in literacy and numeracy scores was associated with a 35 percent increase in wages (Moll 1998). Extrapolating these results, a 0.25 SD increase in IQ, which is a conservative estimate of the benefit resulting from a school health intervention, would lead to an increase in wages of from 5 to 10 percent." http://www.ncbi.nlm.nih.gov/books/NBK11783/. /// Also see </t>
    </r>
    <r>
      <rPr>
        <i/>
        <sz val="11"/>
        <color theme="1"/>
        <rFont val="Calibri"/>
        <family val="2"/>
        <scheme val="minor"/>
      </rPr>
      <t>IQ in the Production Function: Evidence from Immigrant Earnings</t>
    </r>
    <r>
      <rPr>
        <sz val="11"/>
        <color theme="1"/>
        <rFont val="Calibri"/>
        <family val="2"/>
        <scheme val="minor"/>
      </rPr>
      <t>by Jones and Schneider (2008): In a variety of previous studies, the semi-elasticity of wages (denoted γ) has been close to 1%: Thus, 1 IQ point is associated with 1% higher wages, and a one-standard-deviation rise in IQ is associated with about a 1% [Typo] rise in wages.[4]...We take γ = 1% as reasonable estimate of best-practice labor econometric work; U.S. estimates often run a bit larger, while developing country estimates and estimates that control for education often run a bit smaller."</t>
    </r>
  </si>
  <si>
    <t>Assumes that having iodine throughout childhood has a higher IQ/wage effect than has been found in the studies (which lasted 1-2 years)</t>
  </si>
  <si>
    <t>The average of the effect size (in standard deviations) estimated by Gordon et al 2009 and Zimmermann et al 2006 is 0.24, which equates to 3.6 IQ points. Assuming a little less than a 1% increase in wages with every 1 point increase in IQ, say a 0.75% increase, then an increase of 3.6 IQ points would lead to a 2.7% (0.24*15*.0075) increase in wages (15 is the size of one standard deviation)</t>
  </si>
  <si>
    <t>I25</t>
  </si>
  <si>
    <t>G28</t>
  </si>
  <si>
    <t>G29</t>
  </si>
  <si>
    <t>I31</t>
  </si>
  <si>
    <t>I32</t>
  </si>
  <si>
    <t>I33</t>
  </si>
  <si>
    <t>Enter name of sheet here</t>
  </si>
  <si>
    <t>Same as 1 but using a simple ratio</t>
  </si>
  <si>
    <t>Slightly higher than midpoint due to Croke 2014 increasing likelihood that the effects found by Miguel and Kremer 2014 are replicable</t>
  </si>
  <si>
    <t>Optimistic deworming, iodine</t>
  </si>
  <si>
    <t>Pessimistic deworming, iodine</t>
  </si>
  <si>
    <t>IQ gain from iodine from studies (~4 IQ points, or a quarter of a standard deviation) is an average across the population</t>
  </si>
  <si>
    <t>Discussion of Croke 2014</t>
  </si>
  <si>
    <t>http://blog.givewell.org/2014/10/03/a-promising-study-on-the-long-term-effects-of-deworming/</t>
  </si>
  <si>
    <t>Average of the ratios of prevalence for each infection type in SCI's recent areas to prevalence in Miguel and Kremer 2004 in Year 1. See Intensity of Worms 2014.</t>
  </si>
  <si>
    <t>Average of the ratios of prevalence for schisto and hookworm in SCI's recent areas to prevalence in Miguel and Kremer 2004 in Year 1. See Intensity of Worms 2014.</t>
  </si>
  <si>
    <t>Average of the ratios of intensity for each infection type in SCI's recent areas to prevalence in Miguel and Kremer 2004 in Year 1. See Intensity of Worms 2014.</t>
  </si>
  <si>
    <t>http://www.givewell.org/node/2361#CashRatios</t>
  </si>
  <si>
    <t>Percent of transfers out of total incurred costs to date</t>
  </si>
  <si>
    <t>If and only if you prefer saving a life to increasing ln(income) by 1 unit (i.e., doubling income) for this many people for one year, you prefer ITN distribution to:</t>
  </si>
  <si>
    <t>Cost per life saved, bednets</t>
  </si>
  <si>
    <t>R36</t>
  </si>
  <si>
    <t>W29</t>
  </si>
  <si>
    <t>W30</t>
  </si>
  <si>
    <t>W31</t>
  </si>
  <si>
    <t>Sean</t>
  </si>
  <si>
    <t>Use dropdown menus to select values, or input your own. See "Parameters" sheet for explanation of possible values. See comments on inputs for description.</t>
  </si>
  <si>
    <t>Other inputs (suggested values for these are slightly less  subjective)</t>
  </si>
  <si>
    <t>Percent of transfers out of total incurred costs plus future campaign costs for existing recipients (note that this leaves out future marketing and set-up costs, for which we don't have projections</t>
  </si>
  <si>
    <t>Best guess based on balancing self reported data on spending from Give Directly follow-up surveys (http://www.givewell.org/node/2361#Datafromfollowupsurveys) in which investments in buildings, land, livestock, and businesses typically account for ~70% of spending with the RCT results which have investments as $463.33 (USD PPP) (within villages, or $544 across villages) on a transfer of $1,520 USDPPP (i.e. about 1/3 of the total: http://www.princeton.edu/~joha/publications/Haushofer_Shapiro_UCT_Online_Appendix_2013.pdf; see http://www.princeton.edu/~joha/publications/Haushofer_Shapiro_UCT_2013.pdf for total transfer size)</t>
  </si>
  <si>
    <t>Best guest, adjusted downward from the roof ROI calculation (see below on this sheet) due to not knowing survey methodology and inconsistent results, see: http://www.givewell.org/node/2360#AvariantofGiveDirectly</t>
  </si>
  <si>
    <t>Slightly below roof ROI</t>
  </si>
  <si>
    <t>Ratio of benefits per dollar to developmental benefits of ITNs per dollar (upper bound on how much more cost-effective the deworming/iodine charity could be)</t>
  </si>
  <si>
    <t>Optimistic, assumes benefits persist throughout the worker's career. Used in Worms at Work spreadsheet</t>
  </si>
  <si>
    <t>Duration of long term benefits of deworming (years) - also used for iodine</t>
  </si>
  <si>
    <t>Duration of long term benefits in years (also used for iodine)</t>
  </si>
  <si>
    <t>Pessimistic (although not extremely so - wage effects from Baird et al. 2012 were only measured at a single time), assumes wage benefits for workers only last one decade.</t>
  </si>
  <si>
    <t>Between pessimistic and optimistic</t>
  </si>
  <si>
    <t>http://data.worldbank.org/indicator/SP.POP.0014.TO.ZS/countries/SSA?display=graph</t>
  </si>
  <si>
    <t>No leverage. Assumes ICCIDD/GAIN don't get governments to spend additional money on iodine programs than they would have otherwise. See http://www.givewell.org/international/charities/GAIN#FourcasestudiesofGAINsUSIwork; on average, GAIN seems to spend around $0.08 per additional person iodized, which suggests no leverage.</t>
  </si>
  <si>
    <t>Optimistic. Assumes ICCIDD/GAIN get governments to spend additional money on iodine programs.</t>
  </si>
  <si>
    <t>Assumes national campaign won't be able to reach the whole country (possibly due to households not consuming salt, some producers not iodizing, rural areas being hard to reach with iodized salt, or other reasons). Our understanding is that cost per person per year is calculated using total population, not population reached (see http://www.givewell.org/node/2267#footnoteref152_iol879z), hence this adjustment.</t>
  </si>
  <si>
    <t>Average of the ratios of intensity for schisto and hookworm in SCI's recent areas to prevalence in Miguel and Kremer 2004 in Year 1. See Intensity of Worms 2014.</t>
  </si>
  <si>
    <t>Best guess, based on the fact that studies of iodine benefits took place in areas of moderate deficiency according to the WHO classification for UIC ("Mild iodine deficiency is defined as a median urinary iodine concentration of 50 to 99 mcg/L, moderate deficiency as 20 to 49 mcg/L, and severe deficiency as &lt;20 mcg/L") (see Table 1  http://www.givewell.org/node/2267#footnoteref15_ia8durp), and conversations with ICCIDD representatives (Gregory Gerasimov and Izzeldin Hussein, unpublished) suggest that ICCIDD is likely to work in Russia, Kyrgyzstan, Ukraine, and Sudan, which have mild or no iodine deficiency. (78,114,90, and 66 mcg/L). However, we have some questions about the reliability of measuring UIC (http://www.givewell.org/node/2267#Howreliableandpredictiveismeasuringurinaryiodinecontent), and ICCIDD/GAIN may also prevent reversion to worse levels of iodine (see http://files.givewell.org/files/DWDA%202009/ICCIDD/ICCIDD%20slides%20Vietnam%202014.pdf) which could be just as good as increasing iodine. Also meant to account for the possibility of implemenations in ICCIDD/GAIN countries being not as good as those done in RCTs.</t>
  </si>
  <si>
    <t>Slightly lower than GiveDirectly's estimate of the lifespan of a roof (http://blog.givewell.org/2012/12/19/cost-effectiveness-of-nets-vs-deworming-vs-cash-transfers/)</t>
  </si>
  <si>
    <t>Alexander</t>
  </si>
  <si>
    <t>Elie</t>
  </si>
  <si>
    <t>Intensity of worms 2014</t>
  </si>
  <si>
    <t>GiveWell estimate of historical cost per treatment</t>
  </si>
  <si>
    <t>Adjusting based on prevalence of any moderate-heavy helminth infection from Miguel and Kremer 2004 using an odds-ratio form (odds ratio to account for significance of differences in intensity, can't use differences in intensity due to lack of externality-adjusted intensity data); see http://www.givewell.org/international/technical/programs/deworming/reanalysis#Externalvalidity. The numbers used in the equation in the cell are .37 (the initial rate of infection of the treatment group, p. 168) and .66 (the rate of .52 that the control group had in year 2, pg 173, plus .14 to get the "true" value of what prevalence would have been, since the control group had a .14 drop in prevalence due to externalities of treatment (see Miguel and Kremer Deworming DALY calcuation, "Effect on Pupils in Untreated Schools")). See Intensity of Worms 2014 speadsheet for data.</t>
  </si>
  <si>
    <t>"Salt iodization, small plants", Table 1, Horton, Mannar and Wesley 2008, Pg. 22 http://files.givewell.org/files/DWDA%202009/Interventions/Iodine/Horton,%20Mannar%20and%20Wesley%202008.pdf</t>
  </si>
  <si>
    <t>http://www.givewell.org/node/2365#Whatdoyougetforyourdollar and https://docs.google.com/a/givewell.org/spreadsheets/d/1m5083Rgf9hB_XYS4QV5KzQoac4zPNtlZgkK90g7zM_Q/edit#gid=0</t>
  </si>
  <si>
    <t>Jake</t>
  </si>
  <si>
    <t xml:space="preserve">Best guess. Between ratios for prevalence and intensity (see other values in this row). Assumes hookworm and schisto are more important for impact than the other 2 worms. </t>
  </si>
  <si>
    <t>Average of the ratios of prevalence for each infection type in Bihar aeas to prevalence in Miguel and Kremer 2004 in Year 1. See Intensity of Worms 2014.</t>
  </si>
  <si>
    <t>Average of the ratios of prevalence for schisto and hookworm in Bihar to prevalence in Miguel and Kremer 2004 in Year 1. See Intensity of Worms 2014.</t>
  </si>
  <si>
    <t>Average of the ratios of intensity for each infection type in Bihar to prevalence in Miguel and Kremer 2004 in Year 1. See Intensity of Worms 2014.</t>
  </si>
  <si>
    <t>Average of the ratios of intensity for schisto and hookworm in Bihar to prevalence in Miguel and Kremer 2004 in Year 1. See Intensity of Worms 2014.</t>
  </si>
  <si>
    <t>SCI Treatment Numbers (October 2014)</t>
  </si>
  <si>
    <t>http://www.givewell.org/files/DWDA%202009/SCI/SCI%20treatment%20numbers%20(October%202014).xlsx</t>
  </si>
  <si>
    <t>Based on SCI Treatment Numbers (October 2014). In the "totals" column, the percentage of treatments not marked for adults is 90.59%. Assuming that rows that don't specify "adult" are for children, based on case studies of Uganda ( http://files.givewell.org/files/conversations/Yolisa%20Nalule%2010-14-14%20(Public).pdf), Cote d'Ivoire (http://files.givewell.org/files/conversations/Sarah%20Nogaro%2010-16-14%20(public).pdf), Ethiopia  (http://files.givewell.org/files/conversations/Michael%20French%2010-15-14%20(Public).pdf) and Mozambique (Unpublished) which demonstrate that all treatments in those countries were for school aged children.</t>
  </si>
  <si>
    <t>Probabilty DtW has an impact</t>
  </si>
  <si>
    <t>Probability DTW has an impact</t>
  </si>
  <si>
    <t>Technical assistance may not actually cause the government to do deworming campaigns (they may have done them anyway)</t>
  </si>
  <si>
    <t>http://www.givewell.org/node/2369#WhatimpactdoDtWIsactivitieshaveondewormingprograms</t>
  </si>
  <si>
    <t>Assumes DTW causes more campaigns to happen</t>
  </si>
  <si>
    <t>Best guess</t>
  </si>
  <si>
    <t>Excludes value of teachers' and principals' time on program</t>
  </si>
  <si>
    <t>Holden</t>
  </si>
  <si>
    <t>Ben</t>
  </si>
  <si>
    <t>Tim</t>
  </si>
  <si>
    <t>Best guess. Between ratios for prevalence and intensity (see other values in this row). Assumes hookworm and schisto are more important for impact than the other 2 worms.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</si>
</sst>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00_);[Red]\(&quot;$&quot;#,##0.00\)"/>
    <numFmt numFmtId="165" formatCode="_(&quot;$&quot;* #,##0.00_);_(&quot;$&quot;* \(#,##0.00\);_(&quot;$&quot;* &quot;-&quot;??_);_(@_)"/>
    <numFmt numFmtId="166" formatCode="&quot;$&quot;#,##0.00"/>
    <numFmt numFmtId="167" formatCode="0.0%"/>
    <numFmt numFmtId="168" formatCode="0.00000"/>
    <numFmt numFmtId="169" formatCode="\$#,##0.00_);[Red]&quot;($&quot;#,##0.00\)"/>
    <numFmt numFmtId="170" formatCode="0.00000000"/>
    <numFmt numFmtId="171" formatCode="&quot;$&quot;#,##0"/>
    <numFmt numFmtId="172" formatCode="0.0000000000"/>
    <numFmt numFmtId="173" formatCode="0.00000000000"/>
    <numFmt numFmtId="174" formatCode="0.000000"/>
  </numFmts>
  <fonts count="41" x14ac:knownFonts="1">
    <font>
      <sz val="11"/>
      <color theme="1"/>
      <name val="Calibri"/>
      <family val="2"/>
      <scheme val="minor"/>
    </font>
    <font>
      <sz val="9"/>
      <color indexed="81"/>
      <name val="Tahoma"/>
      <family val="2"/>
    </font>
    <font>
      <b/>
      <i/>
      <sz val="8"/>
      <color indexed="8"/>
      <name val="Calibri"/>
      <family val="2"/>
    </font>
    <font>
      <sz val="11"/>
      <color theme="1"/>
      <name val="Calibri"/>
      <family val="2"/>
      <scheme val="minor"/>
    </font>
    <font>
      <u/>
      <sz val="10"/>
      <color theme="10"/>
      <name val="Arial"/>
      <family val="2"/>
    </font>
    <font>
      <b/>
      <sz val="11"/>
      <color theme="1"/>
      <name val="Calibri"/>
      <family val="2"/>
      <scheme val="minor"/>
    </font>
    <font>
      <sz val="8"/>
      <color theme="1"/>
      <name val="Calibri"/>
      <family val="2"/>
      <scheme val="minor"/>
    </font>
    <font>
      <b/>
      <sz val="8"/>
      <color theme="1"/>
      <name val="Calibri"/>
      <family val="2"/>
      <scheme val="minor"/>
    </font>
    <font>
      <sz val="8"/>
      <color rgb="FFFF0000"/>
      <name val="Calibri"/>
      <family val="2"/>
      <scheme val="minor"/>
    </font>
    <font>
      <sz val="8"/>
      <name val="Calibri"/>
      <family val="2"/>
      <scheme val="minor"/>
    </font>
    <font>
      <b/>
      <sz val="22"/>
      <color theme="1"/>
      <name val="Calibri"/>
      <family val="2"/>
      <scheme val="minor"/>
    </font>
    <font>
      <u/>
      <sz val="8"/>
      <color theme="10"/>
      <name val="Arial"/>
      <family val="2"/>
    </font>
    <font>
      <i/>
      <sz val="9"/>
      <color theme="1"/>
      <name val="Calibri"/>
      <family val="2"/>
      <scheme val="minor"/>
    </font>
    <font>
      <b/>
      <sz val="9"/>
      <color theme="1"/>
      <name val="Calibri"/>
      <family val="2"/>
      <scheme val="minor"/>
    </font>
    <font>
      <sz val="1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sz val="15"/>
      <color theme="1"/>
      <name val="Calibri"/>
      <family val="2"/>
      <scheme val="minor"/>
    </font>
    <font>
      <sz val="9"/>
      <color theme="1"/>
      <name val="Calibri"/>
      <family val="2"/>
      <scheme val="minor"/>
    </font>
    <font>
      <i/>
      <sz val="8"/>
      <color theme="1"/>
      <name val="Calibri"/>
      <family val="2"/>
      <scheme val="minor"/>
    </font>
    <font>
      <b/>
      <sz val="18"/>
      <color theme="1"/>
      <name val="Calibri"/>
      <family val="2"/>
      <scheme val="minor"/>
    </font>
    <font>
      <b/>
      <i/>
      <sz val="8"/>
      <color theme="1"/>
      <name val="Calibri"/>
      <family val="2"/>
      <scheme val="minor"/>
    </font>
    <font>
      <sz val="12"/>
      <color indexed="8"/>
      <name val="Calibri"/>
      <family val="2"/>
    </font>
    <font>
      <b/>
      <u/>
      <sz val="11"/>
      <color theme="1"/>
      <name val="Calibri"/>
      <family val="2"/>
      <scheme val="minor"/>
    </font>
    <font>
      <b/>
      <sz val="11"/>
      <color indexed="8"/>
      <name val="Calibri"/>
      <family val="2"/>
      <scheme val="minor"/>
    </font>
    <font>
      <i/>
      <sz val="11"/>
      <name val="Calibri"/>
      <family val="2"/>
      <scheme val="minor"/>
    </font>
    <font>
      <sz val="11"/>
      <color indexed="8"/>
      <name val="Calibri"/>
      <family val="2"/>
      <scheme val="minor"/>
    </font>
    <font>
      <sz val="11"/>
      <color rgb="FF000000"/>
      <name val="Calibri"/>
      <family val="2"/>
      <scheme val="minor"/>
    </font>
    <font>
      <u/>
      <sz val="11"/>
      <color theme="10"/>
      <name val="Calibri"/>
      <family val="2"/>
      <scheme val="minor"/>
    </font>
    <font>
      <sz val="11"/>
      <name val="Calibri"/>
      <family val="2"/>
      <scheme val="minor"/>
    </font>
    <font>
      <sz val="11"/>
      <color indexed="12"/>
      <name val="Calibri"/>
      <family val="2"/>
      <scheme val="minor"/>
    </font>
    <font>
      <i/>
      <sz val="11"/>
      <color indexed="12"/>
      <name val="Calibri"/>
      <family val="2"/>
      <scheme val="minor"/>
    </font>
    <font>
      <sz val="9"/>
      <color indexed="81"/>
      <name val="Calibri"/>
      <family val="2"/>
    </font>
    <font>
      <u/>
      <sz val="11"/>
      <color theme="11"/>
      <name val="Calibri"/>
      <family val="2"/>
      <scheme val="minor"/>
    </font>
    <font>
      <sz val="10"/>
      <name val="Arial"/>
      <family val="2"/>
    </font>
    <font>
      <u/>
      <sz val="12"/>
      <color indexed="12"/>
      <name val="Calibri"/>
      <family val="2"/>
    </font>
    <font>
      <i/>
      <sz val="11"/>
      <color theme="1"/>
      <name val="Calibri"/>
      <family val="2"/>
      <scheme val="minor"/>
    </font>
    <font>
      <b/>
      <sz val="9"/>
      <color indexed="81"/>
      <name val="Tahoma"/>
      <charset val="1"/>
    </font>
    <font>
      <sz val="8"/>
      <color indexed="8"/>
      <name val="Calibri"/>
      <family val="2"/>
    </font>
    <font>
      <b/>
      <sz val="9"/>
      <color indexed="81"/>
      <name val="Calibri"/>
      <family val="2"/>
    </font>
  </fonts>
  <fills count="20">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7F7F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indexed="26"/>
        <bgColor indexed="64"/>
      </patternFill>
    </fill>
  </fills>
  <borders count="102">
    <border>
      <left/>
      <right/>
      <top/>
      <bottom/>
      <diagonal/>
    </border>
    <border>
      <left/>
      <right/>
      <top/>
      <bottom style="medium">
        <color auto="1"/>
      </bottom>
      <diagonal/>
    </border>
    <border>
      <left/>
      <right/>
      <top style="medium">
        <color auto="1"/>
      </top>
      <bottom/>
      <diagonal/>
    </border>
    <border>
      <left style="medium">
        <color auto="1"/>
      </left>
      <right/>
      <top/>
      <bottom style="medium">
        <color auto="1"/>
      </bottom>
      <diagonal/>
    </border>
    <border>
      <left/>
      <right style="dotted">
        <color auto="1"/>
      </right>
      <top/>
      <bottom/>
      <diagonal/>
    </border>
    <border>
      <left style="dotted">
        <color auto="1"/>
      </left>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bottom/>
      <diagonal/>
    </border>
    <border>
      <left/>
      <right/>
      <top style="medium">
        <color auto="1"/>
      </top>
      <bottom style="dotted">
        <color auto="1"/>
      </bottom>
      <diagonal/>
    </border>
    <border>
      <left style="dotted">
        <color auto="1"/>
      </left>
      <right/>
      <top/>
      <bottom style="dotted">
        <color auto="1"/>
      </bottom>
      <diagonal/>
    </border>
    <border>
      <left/>
      <right style="dotted">
        <color auto="1"/>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dotted">
        <color auto="1"/>
      </right>
      <top style="thin">
        <color theme="2" tint="-0.249977111117893"/>
      </top>
      <bottom style="thin">
        <color theme="2" tint="-0.249977111117893"/>
      </bottom>
      <diagonal/>
    </border>
    <border>
      <left style="thin">
        <color theme="2" tint="-9.9948118533890809E-2"/>
      </left>
      <right/>
      <top style="medium">
        <color auto="1"/>
      </top>
      <bottom/>
      <diagonal/>
    </border>
    <border>
      <left style="thin">
        <color theme="2" tint="-9.9948118533890809E-2"/>
      </left>
      <right style="thin">
        <color theme="2" tint="-9.9948118533890809E-2"/>
      </right>
      <top style="medium">
        <color auto="1"/>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style="thin">
        <color theme="2" tint="-9.9948118533890809E-2"/>
      </left>
      <right/>
      <top style="thin">
        <color theme="2" tint="-9.9948118533890809E-2"/>
      </top>
      <bottom style="medium">
        <color auto="1"/>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dotted">
        <color auto="1"/>
      </left>
      <right/>
      <top style="thin">
        <color theme="2" tint="-0.249977111117893"/>
      </top>
      <bottom/>
      <diagonal/>
    </border>
    <border>
      <left/>
      <right style="dotted">
        <color auto="1"/>
      </right>
      <top style="thin">
        <color theme="2" tint="-0.249977111117893"/>
      </top>
      <bottom/>
      <diagonal/>
    </border>
    <border>
      <left style="thin">
        <color theme="2" tint="-9.9948118533890809E-2"/>
      </left>
      <right/>
      <top style="medium">
        <color auto="1"/>
      </top>
      <bottom style="thin">
        <color theme="2" tint="-9.9948118533890809E-2"/>
      </bottom>
      <diagonal/>
    </border>
    <border>
      <left/>
      <right style="thin">
        <color theme="2" tint="-9.9948118533890809E-2"/>
      </right>
      <top style="medium">
        <color auto="1"/>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medium">
        <color auto="1"/>
      </left>
      <right style="thin">
        <color theme="2" tint="-9.9948118533890809E-2"/>
      </right>
      <top/>
      <bottom/>
      <diagonal/>
    </border>
    <border>
      <left style="medium">
        <color auto="1"/>
      </left>
      <right style="thin">
        <color theme="2" tint="-9.9948118533890809E-2"/>
      </right>
      <top/>
      <bottom style="medium">
        <color auto="1"/>
      </bottom>
      <diagonal/>
    </border>
    <border>
      <left style="medium">
        <color auto="1"/>
      </left>
      <right style="thin">
        <color theme="2" tint="-9.9948118533890809E-2"/>
      </right>
      <top style="medium">
        <color auto="1"/>
      </top>
      <bottom/>
      <diagonal/>
    </border>
    <border>
      <left style="thin">
        <color theme="0" tint="-0.24994659260841701"/>
      </left>
      <right style="thin">
        <color theme="0" tint="-0.24994659260841701"/>
      </right>
      <top style="thin">
        <color theme="2" tint="-9.9948118533890809E-2"/>
      </top>
      <bottom style="medium">
        <color auto="1"/>
      </bottom>
      <diagonal/>
    </border>
    <border>
      <left/>
      <right style="thin">
        <color theme="2" tint="-9.9948118533890809E-2"/>
      </right>
      <top style="medium">
        <color auto="1"/>
      </top>
      <bottom/>
      <diagonal/>
    </border>
    <border>
      <left/>
      <right style="dotted">
        <color auto="1"/>
      </right>
      <top/>
      <bottom style="thin">
        <color theme="2" tint="-0.249977111117893"/>
      </bottom>
      <diagonal/>
    </border>
    <border>
      <left style="dotted">
        <color auto="1"/>
      </left>
      <right/>
      <top/>
      <bottom style="thin">
        <color theme="2" tint="-0.249977111117893"/>
      </bottom>
      <diagonal/>
    </border>
    <border>
      <left style="thin">
        <color theme="2" tint="-9.9948118533890809E-2"/>
      </left>
      <right style="thin">
        <color theme="2" tint="-9.9948118533890809E-2"/>
      </right>
      <top style="thin">
        <color theme="2" tint="-9.9917600024414813E-2"/>
      </top>
      <bottom style="thin">
        <color theme="2" tint="-9.9917600024414813E-2"/>
      </bottom>
      <diagonal/>
    </border>
    <border>
      <left style="thin">
        <color theme="2" tint="-9.9948118533890809E-2"/>
      </left>
      <right/>
      <top style="thin">
        <color theme="2" tint="-9.9917600024414813E-2"/>
      </top>
      <bottom style="thin">
        <color theme="2" tint="-9.9917600024414813E-2"/>
      </bottom>
      <diagonal/>
    </border>
    <border>
      <left/>
      <right style="thin">
        <color theme="2" tint="-9.9948118533890809E-2"/>
      </right>
      <top style="thin">
        <color theme="2" tint="-9.9917600024414813E-2"/>
      </top>
      <bottom style="thin">
        <color theme="2" tint="-9.9917600024414813E-2"/>
      </bottom>
      <diagonal/>
    </border>
    <border>
      <left style="thin">
        <color theme="2" tint="-9.9948118533890809E-2"/>
      </left>
      <right style="thin">
        <color theme="2" tint="-9.9948118533890809E-2"/>
      </right>
      <top style="medium">
        <color auto="1"/>
      </top>
      <bottom/>
      <diagonal/>
    </border>
    <border>
      <left/>
      <right/>
      <top style="thin">
        <color theme="2" tint="-9.9917600024414813E-2"/>
      </top>
      <bottom style="thin">
        <color theme="2" tint="-9.9917600024414813E-2"/>
      </bottom>
      <diagonal/>
    </border>
    <border>
      <left style="thin">
        <color theme="2" tint="-9.9948118533890809E-2"/>
      </left>
      <right style="thin">
        <color theme="2" tint="-9.9917600024414813E-2"/>
      </right>
      <top style="thin">
        <color theme="2" tint="-9.9917600024414813E-2"/>
      </top>
      <bottom style="thin">
        <color theme="2" tint="-9.9917600024414813E-2"/>
      </bottom>
      <diagonal/>
    </border>
    <border>
      <left style="thin">
        <color theme="2" tint="-9.9948118533890809E-2"/>
      </left>
      <right style="medium">
        <color auto="1"/>
      </right>
      <top style="medium">
        <color auto="1"/>
      </top>
      <bottom/>
      <diagonal/>
    </border>
    <border>
      <left style="thin">
        <color theme="2" tint="-9.9948118533890809E-2"/>
      </left>
      <right style="medium">
        <color auto="1"/>
      </right>
      <top style="thin">
        <color theme="2" tint="-9.9917600024414813E-2"/>
      </top>
      <bottom style="thin">
        <color theme="2" tint="-9.9917600024414813E-2"/>
      </bottom>
      <diagonal/>
    </border>
    <border>
      <left style="dotted">
        <color auto="1"/>
      </left>
      <right/>
      <top/>
      <bottom style="thin">
        <color theme="0" tint="-0.34998626667073579"/>
      </bottom>
      <diagonal/>
    </border>
    <border>
      <left/>
      <right style="dotted">
        <color auto="1"/>
      </right>
      <top/>
      <bottom style="thin">
        <color theme="0" tint="-0.34998626667073579"/>
      </bottom>
      <diagonal/>
    </border>
    <border>
      <left style="dotted">
        <color auto="1"/>
      </left>
      <right/>
      <top style="dotted">
        <color auto="1"/>
      </top>
      <bottom style="thin">
        <color theme="0" tint="-0.24994659260841701"/>
      </bottom>
      <diagonal/>
    </border>
    <border>
      <left/>
      <right style="dotted">
        <color auto="1"/>
      </right>
      <top style="dotted">
        <color auto="1"/>
      </top>
      <bottom style="thin">
        <color theme="0" tint="-0.24994659260841701"/>
      </bottom>
      <diagonal/>
    </border>
    <border>
      <left style="dotted">
        <color auto="1"/>
      </left>
      <right/>
      <top style="thin">
        <color theme="0" tint="-0.34998626667073579"/>
      </top>
      <bottom/>
      <diagonal/>
    </border>
    <border>
      <left/>
      <right style="dotted">
        <color auto="1"/>
      </right>
      <top style="thin">
        <color theme="0" tint="-0.34998626667073579"/>
      </top>
      <bottom/>
      <diagonal/>
    </border>
    <border>
      <left style="dotted">
        <color auto="1"/>
      </left>
      <right/>
      <top style="thin">
        <color theme="0" tint="-0.24994659260841701"/>
      </top>
      <bottom style="thin">
        <color theme="2" tint="-0.249977111117893"/>
      </bottom>
      <diagonal/>
    </border>
    <border>
      <left/>
      <right/>
      <top style="dotted">
        <color auto="1"/>
      </top>
      <bottom/>
      <diagonal/>
    </border>
    <border>
      <left/>
      <right/>
      <top/>
      <bottom style="dotted">
        <color auto="1"/>
      </bottom>
      <diagonal/>
    </border>
    <border>
      <left style="dotted">
        <color auto="1"/>
      </left>
      <right/>
      <top style="thin">
        <color theme="2" tint="-0.249977111117893"/>
      </top>
      <bottom style="thin">
        <color theme="0" tint="-0.24994659260841701"/>
      </bottom>
      <diagonal/>
    </border>
    <border>
      <left/>
      <right style="dotted">
        <color auto="1"/>
      </right>
      <top style="thin">
        <color theme="2" tint="-0.249977111117893"/>
      </top>
      <bottom style="thin">
        <color theme="0" tint="-0.24994659260841701"/>
      </bottom>
      <diagonal/>
    </border>
    <border>
      <left/>
      <right style="dotted">
        <color auto="1"/>
      </right>
      <top style="thin">
        <color theme="0" tint="-0.24994659260841701"/>
      </top>
      <bottom style="thin">
        <color theme="0" tint="-0.24994659260841701"/>
      </bottom>
      <diagonal/>
    </border>
    <border>
      <left/>
      <right style="dotted">
        <color auto="1"/>
      </right>
      <top style="thin">
        <color theme="0" tint="-0.24994659260841701"/>
      </top>
      <bottom style="thin">
        <color theme="2" tint="-0.249977111117893"/>
      </bottom>
      <diagonal/>
    </border>
    <border>
      <left style="dotted">
        <color auto="1"/>
      </left>
      <right/>
      <top style="thin">
        <color theme="0" tint="-0.24994659260841701"/>
      </top>
      <bottom style="thin">
        <color theme="0" tint="-0.24994659260841701"/>
      </bottom>
      <diagonal/>
    </border>
    <border>
      <left style="dotted">
        <color auto="1"/>
      </left>
      <right/>
      <top style="thin">
        <color theme="0" tint="-0.24994659260841701"/>
      </top>
      <bottom/>
      <diagonal/>
    </border>
    <border>
      <left/>
      <right style="dotted">
        <color auto="1"/>
      </right>
      <top style="thin">
        <color theme="0" tint="-0.24994659260841701"/>
      </top>
      <bottom/>
      <diagonal/>
    </border>
    <border>
      <left style="dotted">
        <color auto="1"/>
      </left>
      <right/>
      <top style="dotted">
        <color auto="1"/>
      </top>
      <bottom style="dotted">
        <color auto="1"/>
      </bottom>
      <diagonal/>
    </border>
    <border>
      <left/>
      <right style="dotted">
        <color auto="1"/>
      </right>
      <top style="thin">
        <color theme="2" tint="-0.249977111117893"/>
      </top>
      <bottom style="dotted">
        <color auto="1"/>
      </bottom>
      <diagonal/>
    </border>
    <border>
      <left style="dotted">
        <color auto="1"/>
      </left>
      <right/>
      <top style="thin">
        <color theme="2" tint="-0.249977111117893"/>
      </top>
      <bottom style="dotted">
        <color auto="1"/>
      </bottom>
      <diagonal/>
    </border>
    <border>
      <left/>
      <right style="dotted">
        <color auto="1"/>
      </right>
      <top style="thin">
        <color theme="0" tint="-0.34998626667073579"/>
      </top>
      <bottom style="dotted">
        <color auto="1"/>
      </bottom>
      <diagonal/>
    </border>
    <border>
      <left style="dotted">
        <color auto="1"/>
      </left>
      <right/>
      <top style="thin">
        <color theme="0" tint="-0.34998626667073579"/>
      </top>
      <bottom style="dotted">
        <color auto="1"/>
      </bottom>
      <diagonal/>
    </border>
    <border>
      <left style="thin">
        <color theme="2" tint="-9.9917600024414813E-2"/>
      </left>
      <right/>
      <top style="thin">
        <color theme="2" tint="-9.9917600024414813E-2"/>
      </top>
      <bottom style="thin">
        <color theme="2" tint="-9.9917600024414813E-2"/>
      </bottom>
      <diagonal/>
    </border>
    <border>
      <left style="thin">
        <color theme="2" tint="-9.9948118533890809E-2"/>
      </left>
      <right/>
      <top style="medium">
        <color auto="1"/>
      </top>
      <bottom style="thin">
        <color theme="2" tint="-9.9917600024414813E-2"/>
      </bottom>
      <diagonal/>
    </border>
    <border>
      <left/>
      <right style="thin">
        <color theme="2" tint="-9.9948118533890809E-2"/>
      </right>
      <top style="medium">
        <color auto="1"/>
      </top>
      <bottom style="thin">
        <color theme="2" tint="-9.9917600024414813E-2"/>
      </bottom>
      <diagonal/>
    </border>
    <border>
      <left style="dotted">
        <color auto="1"/>
      </left>
      <right/>
      <top style="dotted">
        <color auto="1"/>
      </top>
      <bottom style="thin">
        <color theme="2" tint="-0.249977111117893"/>
      </bottom>
      <diagonal/>
    </border>
    <border>
      <left/>
      <right style="dotted">
        <color auto="1"/>
      </right>
      <top style="dotted">
        <color auto="1"/>
      </top>
      <bottom/>
      <diagonal/>
    </border>
    <border>
      <left style="dotted">
        <color auto="1"/>
      </left>
      <right/>
      <top style="thin">
        <color theme="2" tint="-0.249977111117893"/>
      </top>
      <bottom style="thin">
        <color theme="2" tint="-0.249977111117893"/>
      </bottom>
      <diagonal/>
    </border>
    <border>
      <left/>
      <right style="dotted">
        <color auto="1"/>
      </right>
      <top style="dotted">
        <color auto="1"/>
      </top>
      <bottom style="dotted">
        <color auto="1"/>
      </bottom>
      <diagonal/>
    </border>
    <border>
      <left style="thin">
        <color theme="0" tint="-0.24994659260841701"/>
      </left>
      <right style="thin">
        <color theme="0" tint="-0.24994659260841701"/>
      </right>
      <top/>
      <bottom style="medium">
        <color auto="1"/>
      </bottom>
      <diagonal/>
    </border>
    <border>
      <left style="thin">
        <color theme="2" tint="-9.9948118533890809E-2"/>
      </left>
      <right/>
      <top style="thin">
        <color theme="2" tint="-9.9917600024414813E-2"/>
      </top>
      <bottom style="thin">
        <color theme="2" tint="-9.9948118533890809E-2"/>
      </bottom>
      <diagonal/>
    </border>
    <border>
      <left/>
      <right/>
      <top style="thin">
        <color theme="2" tint="-9.9917600024414813E-2"/>
      </top>
      <bottom style="thin">
        <color theme="2" tint="-9.9948118533890809E-2"/>
      </bottom>
      <diagonal/>
    </border>
    <border>
      <left/>
      <right style="thin">
        <color theme="2" tint="-9.9948118533890809E-2"/>
      </right>
      <top style="thin">
        <color theme="2" tint="-9.9917600024414813E-2"/>
      </top>
      <bottom style="thin">
        <color theme="2" tint="-9.9948118533890809E-2"/>
      </bottom>
      <diagonal/>
    </border>
    <border>
      <left style="thin">
        <color theme="0" tint="-0.24994659260841701"/>
      </left>
      <right style="thin">
        <color theme="2" tint="-9.9948118533890809E-2"/>
      </right>
      <top style="thin">
        <color theme="2" tint="-9.9917600024414813E-2"/>
      </top>
      <bottom style="medium">
        <color auto="1"/>
      </bottom>
      <diagonal/>
    </border>
    <border>
      <left style="thin">
        <color theme="2" tint="-9.9948118533890809E-2"/>
      </left>
      <right style="thin">
        <color theme="2" tint="-9.9948118533890809E-2"/>
      </right>
      <top style="thin">
        <color theme="2" tint="-9.9948118533890809E-2"/>
      </top>
      <bottom style="medium">
        <color auto="1"/>
      </bottom>
      <diagonal/>
    </border>
    <border>
      <left style="thin">
        <color theme="2" tint="-9.9948118533890809E-2"/>
      </left>
      <right style="medium">
        <color auto="1"/>
      </right>
      <top style="thin">
        <color theme="2" tint="-9.9948118533890809E-2"/>
      </top>
      <bottom style="medium">
        <color auto="1"/>
      </bottom>
      <diagonal/>
    </border>
    <border>
      <left style="thin">
        <color theme="0" tint="-0.24994659260841701"/>
      </left>
      <right/>
      <top style="thin">
        <color theme="2" tint="-9.9917600024414813E-2"/>
      </top>
      <bottom style="medium">
        <color auto="1"/>
      </bottom>
      <diagonal/>
    </border>
    <border>
      <left/>
      <right/>
      <top style="thin">
        <color theme="2" tint="-9.9917600024414813E-2"/>
      </top>
      <bottom style="medium">
        <color auto="1"/>
      </bottom>
      <diagonal/>
    </border>
    <border>
      <left/>
      <right style="thin">
        <color theme="0" tint="-0.24994659260841701"/>
      </right>
      <top style="thin">
        <color theme="2" tint="-9.9917600024414813E-2"/>
      </top>
      <bottom style="medium">
        <color auto="1"/>
      </bottom>
      <diagonal/>
    </border>
    <border>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17600024414813E-2"/>
      </right>
      <top/>
      <bottom style="thin">
        <color theme="2" tint="-9.9917600024414813E-2"/>
      </bottom>
      <diagonal/>
    </border>
    <border>
      <left style="thin">
        <color theme="2" tint="-9.9917600024414813E-2"/>
      </left>
      <right style="thin">
        <color theme="2" tint="-9.9917600024414813E-2"/>
      </right>
      <top/>
      <bottom style="thin">
        <color theme="2" tint="-9.9917600024414813E-2"/>
      </bottom>
      <diagonal/>
    </border>
    <border>
      <left style="thin">
        <color theme="2" tint="-9.9917600024414813E-2"/>
      </left>
      <right/>
      <top/>
      <bottom style="thin">
        <color theme="2" tint="-9.9917600024414813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948118533890809E-2"/>
      </left>
      <right style="thin">
        <color theme="2" tint="-9.9917600024414813E-2"/>
      </right>
      <top style="thin">
        <color theme="2" tint="-9.9917600024414813E-2"/>
      </top>
      <bottom/>
      <diagonal/>
    </border>
    <border>
      <left style="thin">
        <color theme="2" tint="-9.9917600024414813E-2"/>
      </left>
      <right style="thin">
        <color theme="2" tint="-9.9917600024414813E-2"/>
      </right>
      <top style="thin">
        <color theme="2" tint="-9.9917600024414813E-2"/>
      </top>
      <bottom/>
      <diagonal/>
    </border>
    <border>
      <left style="thin">
        <color theme="2" tint="-9.9917600024414813E-2"/>
      </left>
      <right style="thin">
        <color theme="0" tint="-0.24994659260841701"/>
      </right>
      <top style="thin">
        <color theme="2" tint="-9.9917600024414813E-2"/>
      </top>
      <bottom/>
      <diagonal/>
    </border>
    <border>
      <left style="thin">
        <color theme="0" tint="-0.24994659260841701"/>
      </left>
      <right/>
      <top/>
      <bottom style="medium">
        <color auto="1"/>
      </bottom>
      <diagonal/>
    </border>
    <border>
      <left/>
      <right style="thin">
        <color theme="0" tint="-0.24994659260841701"/>
      </right>
      <top/>
      <bottom style="medium">
        <color auto="1"/>
      </bottom>
      <diagonal/>
    </border>
    <border>
      <left style="thin">
        <color theme="0" tint="-0.24994659260841701"/>
      </left>
      <right/>
      <top style="thin">
        <color theme="2" tint="-9.9948118533890809E-2"/>
      </top>
      <bottom style="medium">
        <color auto="1"/>
      </bottom>
      <diagonal/>
    </border>
    <border>
      <left/>
      <right/>
      <top style="thin">
        <color theme="2" tint="-9.9948118533890809E-2"/>
      </top>
      <bottom style="medium">
        <color auto="1"/>
      </bottom>
      <diagonal/>
    </border>
    <border>
      <left/>
      <right style="thin">
        <color theme="0" tint="-0.24994659260841701"/>
      </right>
      <top style="thin">
        <color theme="2" tint="-9.9948118533890809E-2"/>
      </top>
      <bottom style="medium">
        <color auto="1"/>
      </bottom>
      <diagonal/>
    </border>
    <border>
      <left/>
      <right style="dotted">
        <color auto="1"/>
      </right>
      <top style="thin">
        <color indexed="22"/>
      </top>
      <bottom style="thin">
        <color indexed="22"/>
      </bottom>
      <diagonal/>
    </border>
    <border>
      <left/>
      <right style="dotted">
        <color auto="1"/>
      </right>
      <top style="thin">
        <color indexed="22"/>
      </top>
      <bottom/>
      <diagonal/>
    </border>
    <border>
      <left/>
      <right style="dotted">
        <color auto="1"/>
      </right>
      <top style="dotted">
        <color auto="1"/>
      </top>
      <bottom style="thin">
        <color indexed="55"/>
      </bottom>
      <diagonal/>
    </border>
    <border>
      <left/>
      <right style="dotted">
        <color auto="1"/>
      </right>
      <top style="thin">
        <color indexed="55"/>
      </top>
      <bottom/>
      <diagonal/>
    </border>
    <border>
      <left/>
      <right style="dotted">
        <color auto="1"/>
      </right>
      <top/>
      <bottom style="thin">
        <color indexed="55"/>
      </bottom>
      <diagonal/>
    </border>
  </borders>
  <cellStyleXfs count="12">
    <xf numFmtId="0" fontId="0" fillId="0" borderId="0"/>
    <xf numFmtId="165"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xf numFmtId="0" fontId="23" fillId="0" borderId="0"/>
    <xf numFmtId="0" fontId="34" fillId="0" borderId="0" applyNumberFormat="0" applyFill="0" applyBorder="0" applyAlignment="0" applyProtection="0"/>
    <xf numFmtId="0" fontId="35" fillId="0" borderId="0"/>
    <xf numFmtId="0" fontId="36" fillId="0" borderId="0"/>
    <xf numFmtId="0" fontId="3" fillId="0" borderId="0"/>
    <xf numFmtId="9" fontId="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cellStyleXfs>
  <cellXfs count="400">
    <xf numFmtId="0" fontId="0" fillId="0" borderId="0" xfId="0"/>
    <xf numFmtId="0" fontId="6" fillId="0" borderId="0" xfId="0" applyFont="1"/>
    <xf numFmtId="9" fontId="8" fillId="4" borderId="0" xfId="0" applyNumberFormat="1" applyFont="1" applyFill="1" applyBorder="1"/>
    <xf numFmtId="0" fontId="8" fillId="4" borderId="0" xfId="0" applyFont="1" applyFill="1" applyBorder="1"/>
    <xf numFmtId="10" fontId="6" fillId="4" borderId="0" xfId="0" applyNumberFormat="1" applyFont="1" applyFill="1" applyBorder="1"/>
    <xf numFmtId="9" fontId="6" fillId="4" borderId="0" xfId="0" applyNumberFormat="1" applyFont="1" applyFill="1" applyBorder="1"/>
    <xf numFmtId="0" fontId="6" fillId="4" borderId="0" xfId="0" applyFont="1" applyFill="1" applyBorder="1"/>
    <xf numFmtId="0" fontId="6" fillId="4" borderId="1" xfId="0" applyFont="1" applyFill="1" applyBorder="1"/>
    <xf numFmtId="0" fontId="6" fillId="4" borderId="4" xfId="0" applyFont="1" applyFill="1" applyBorder="1"/>
    <xf numFmtId="0" fontId="6" fillId="4" borderId="5" xfId="0" applyFont="1" applyFill="1" applyBorder="1"/>
    <xf numFmtId="0" fontId="6" fillId="4" borderId="6" xfId="0" applyFont="1" applyFill="1" applyBorder="1"/>
    <xf numFmtId="0" fontId="6" fillId="4" borderId="7" xfId="0" applyFont="1" applyFill="1" applyBorder="1"/>
    <xf numFmtId="0" fontId="6" fillId="4" borderId="8" xfId="0" applyFont="1" applyFill="1" applyBorder="1"/>
    <xf numFmtId="9" fontId="6" fillId="5" borderId="17" xfId="0" applyNumberFormat="1" applyFont="1" applyFill="1" applyBorder="1" applyAlignment="1">
      <alignment horizontal="center" vertical="center"/>
    </xf>
    <xf numFmtId="0" fontId="6" fillId="4" borderId="0" xfId="0" applyFont="1" applyFill="1"/>
    <xf numFmtId="0" fontId="6" fillId="4" borderId="10" xfId="0" applyFont="1" applyFill="1" applyBorder="1"/>
    <xf numFmtId="0" fontId="9" fillId="0" borderId="18" xfId="0" applyFont="1" applyFill="1" applyBorder="1" applyAlignment="1">
      <alignment vertical="center"/>
    </xf>
    <xf numFmtId="0" fontId="10" fillId="4" borderId="0" xfId="0" applyFont="1" applyFill="1" applyAlignment="1">
      <alignment vertical="center"/>
    </xf>
    <xf numFmtId="0" fontId="7" fillId="8" borderId="19" xfId="0" applyFont="1" applyFill="1" applyBorder="1" applyAlignment="1">
      <alignment horizontal="center" vertical="center" wrapText="1"/>
    </xf>
    <xf numFmtId="0" fontId="6" fillId="8" borderId="20" xfId="0" applyFont="1" applyFill="1" applyBorder="1" applyAlignment="1">
      <alignment wrapText="1"/>
    </xf>
    <xf numFmtId="0" fontId="6" fillId="8" borderId="21" xfId="0" applyFont="1" applyFill="1" applyBorder="1" applyAlignment="1"/>
    <xf numFmtId="0" fontId="12" fillId="4" borderId="0" xfId="0" applyFont="1" applyFill="1" applyBorder="1" applyAlignment="1">
      <alignment horizontal="right" vertical="center"/>
    </xf>
    <xf numFmtId="0" fontId="6" fillId="4" borderId="0" xfId="0" applyFont="1" applyFill="1" applyBorder="1" applyAlignment="1">
      <alignment vertical="center"/>
    </xf>
    <xf numFmtId="0" fontId="13" fillId="10" borderId="2" xfId="0" applyFont="1" applyFill="1" applyBorder="1" applyAlignment="1">
      <alignment horizontal="centerContinuous"/>
    </xf>
    <xf numFmtId="0" fontId="7" fillId="10" borderId="2" xfId="0" applyFont="1" applyFill="1" applyBorder="1" applyAlignment="1">
      <alignment horizontal="centerContinuous"/>
    </xf>
    <xf numFmtId="0" fontId="14" fillId="4" borderId="0" xfId="0" applyFont="1" applyFill="1"/>
    <xf numFmtId="0" fontId="6" fillId="12" borderId="22" xfId="0" applyFont="1" applyFill="1" applyBorder="1" applyAlignment="1">
      <alignment horizontal="center" vertical="center"/>
    </xf>
    <xf numFmtId="0" fontId="10" fillId="4" borderId="1" xfId="0" applyFont="1" applyFill="1" applyBorder="1" applyAlignment="1">
      <alignment vertical="center"/>
    </xf>
    <xf numFmtId="0" fontId="12" fillId="15" borderId="2" xfId="0" applyFont="1" applyFill="1" applyBorder="1"/>
    <xf numFmtId="0" fontId="19" fillId="15" borderId="2" xfId="0" applyFont="1" applyFill="1" applyBorder="1"/>
    <xf numFmtId="10" fontId="19" fillId="16" borderId="2" xfId="0" applyNumberFormat="1" applyFont="1" applyFill="1" applyBorder="1" applyAlignment="1">
      <alignment horizontal="right"/>
    </xf>
    <xf numFmtId="0" fontId="19" fillId="4" borderId="2" xfId="0" applyFont="1" applyFill="1" applyBorder="1"/>
    <xf numFmtId="0" fontId="19" fillId="4" borderId="7" xfId="0" applyFont="1" applyFill="1" applyBorder="1"/>
    <xf numFmtId="0" fontId="12" fillId="15" borderId="0" xfId="0" applyFont="1" applyFill="1" applyBorder="1"/>
    <xf numFmtId="0" fontId="19" fillId="15" borderId="0" xfId="0" applyFont="1" applyFill="1" applyBorder="1"/>
    <xf numFmtId="10" fontId="19" fillId="16" borderId="0" xfId="0" applyNumberFormat="1" applyFont="1" applyFill="1" applyBorder="1" applyAlignment="1">
      <alignment horizontal="right"/>
    </xf>
    <xf numFmtId="0" fontId="19" fillId="4" borderId="0" xfId="0" applyFont="1" applyFill="1" applyBorder="1"/>
    <xf numFmtId="0" fontId="19" fillId="4" borderId="8" xfId="0" applyFont="1" applyFill="1" applyBorder="1"/>
    <xf numFmtId="0" fontId="13" fillId="14" borderId="10" xfId="0" applyFont="1" applyFill="1" applyBorder="1" applyAlignment="1">
      <alignment horizontal="left" vertical="top"/>
    </xf>
    <xf numFmtId="0" fontId="19" fillId="14" borderId="0" xfId="0" applyFont="1" applyFill="1" applyBorder="1"/>
    <xf numFmtId="166" fontId="19" fillId="16" borderId="0" xfId="0" applyNumberFormat="1" applyFont="1" applyFill="1" applyBorder="1" applyAlignment="1">
      <alignment horizontal="right"/>
    </xf>
    <xf numFmtId="0" fontId="13" fillId="14" borderId="10" xfId="0" applyFont="1" applyFill="1" applyBorder="1" applyAlignment="1">
      <alignment horizontal="right"/>
    </xf>
    <xf numFmtId="2" fontId="19" fillId="16" borderId="0" xfId="0" applyNumberFormat="1" applyFont="1" applyFill="1" applyBorder="1" applyAlignment="1">
      <alignment horizontal="center"/>
    </xf>
    <xf numFmtId="0" fontId="13" fillId="14" borderId="0" xfId="0" applyFont="1" applyFill="1" applyBorder="1"/>
    <xf numFmtId="0" fontId="19" fillId="14" borderId="8" xfId="0" applyFont="1" applyFill="1" applyBorder="1"/>
    <xf numFmtId="0" fontId="20" fillId="17" borderId="0" xfId="0" applyFont="1" applyFill="1" applyBorder="1"/>
    <xf numFmtId="2" fontId="6" fillId="18" borderId="0" xfId="0" applyNumberFormat="1" applyFont="1" applyFill="1" applyBorder="1"/>
    <xf numFmtId="2" fontId="6" fillId="18" borderId="8" xfId="0" applyNumberFormat="1" applyFont="1" applyFill="1" applyBorder="1"/>
    <xf numFmtId="0" fontId="6" fillId="0" borderId="0" xfId="0" applyFont="1" applyBorder="1"/>
    <xf numFmtId="0" fontId="8" fillId="4" borderId="2" xfId="0" applyFont="1" applyFill="1" applyBorder="1" applyAlignment="1">
      <alignment horizontal="center"/>
    </xf>
    <xf numFmtId="0" fontId="7" fillId="4" borderId="2" xfId="0" applyFont="1" applyFill="1" applyBorder="1" applyAlignment="1">
      <alignment horizontal="center"/>
    </xf>
    <xf numFmtId="0" fontId="8" fillId="4" borderId="0" xfId="0" applyFont="1" applyFill="1" applyBorder="1" applyAlignment="1">
      <alignment horizontal="center"/>
    </xf>
    <xf numFmtId="0" fontId="7" fillId="4" borderId="5" xfId="0" applyFont="1" applyFill="1" applyBorder="1" applyAlignment="1">
      <alignment vertical="center" wrapText="1"/>
    </xf>
    <xf numFmtId="0" fontId="6" fillId="4" borderId="4" xfId="0" applyFont="1" applyFill="1" applyBorder="1" applyAlignment="1">
      <alignment vertical="center"/>
    </xf>
    <xf numFmtId="0" fontId="20" fillId="4" borderId="0" xfId="0" applyFont="1" applyFill="1"/>
    <xf numFmtId="0" fontId="4" fillId="0" borderId="0" xfId="2"/>
    <xf numFmtId="0" fontId="24" fillId="0" borderId="0" xfId="0" applyFont="1" applyFill="1" applyAlignment="1">
      <alignment horizontal="center"/>
    </xf>
    <xf numFmtId="0" fontId="0" fillId="0" borderId="0" xfId="0" applyFont="1" applyAlignment="1">
      <alignment horizontal="left" wrapText="1"/>
    </xf>
    <xf numFmtId="0" fontId="0" fillId="0" borderId="0" xfId="0" applyFont="1" applyAlignment="1">
      <alignment wrapText="1"/>
    </xf>
    <xf numFmtId="0" fontId="0" fillId="0" borderId="0" xfId="0" applyFont="1"/>
    <xf numFmtId="0" fontId="26" fillId="0" borderId="0" xfId="0" applyFont="1" applyAlignment="1">
      <alignment wrapText="1"/>
    </xf>
    <xf numFmtId="10" fontId="0" fillId="0" borderId="0" xfId="0" applyNumberFormat="1" applyFont="1" applyFill="1"/>
    <xf numFmtId="0" fontId="0" fillId="0" borderId="0" xfId="0" applyFont="1" applyFill="1"/>
    <xf numFmtId="0" fontId="27" fillId="0" borderId="0" xfId="4" applyFont="1" applyAlignment="1">
      <alignment wrapText="1"/>
    </xf>
    <xf numFmtId="10" fontId="0" fillId="0" borderId="0" xfId="0" applyNumberFormat="1" applyFont="1"/>
    <xf numFmtId="0" fontId="26" fillId="0" borderId="0" xfId="0" applyFont="1" applyAlignment="1">
      <alignment horizontal="left" wrapText="1"/>
    </xf>
    <xf numFmtId="0" fontId="0" fillId="0" borderId="0" xfId="0" applyNumberFormat="1" applyFont="1" applyFill="1"/>
    <xf numFmtId="10" fontId="0" fillId="0" borderId="0" xfId="0" quotePrefix="1" applyNumberFormat="1" applyFont="1" applyFill="1"/>
    <xf numFmtId="2" fontId="0" fillId="0" borderId="0" xfId="0" applyNumberFormat="1" applyFont="1" applyFill="1"/>
    <xf numFmtId="9" fontId="0" fillId="0" borderId="0" xfId="0" applyNumberFormat="1" applyFont="1" applyFill="1"/>
    <xf numFmtId="0" fontId="28" fillId="0" borderId="0" xfId="0" applyFont="1" applyAlignment="1">
      <alignment wrapText="1"/>
    </xf>
    <xf numFmtId="0" fontId="0" fillId="0" borderId="0" xfId="0" applyFont="1" applyFill="1" applyBorder="1"/>
    <xf numFmtId="0" fontId="0" fillId="0" borderId="0" xfId="0" applyFont="1" applyFill="1" applyAlignment="1">
      <alignment horizontal="left" vertical="top" wrapText="1"/>
    </xf>
    <xf numFmtId="0" fontId="0"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Fill="1" applyAlignment="1">
      <alignment horizontal="right"/>
    </xf>
    <xf numFmtId="0" fontId="18" fillId="4" borderId="0" xfId="0" applyFont="1" applyFill="1" applyBorder="1" applyAlignment="1">
      <alignment vertical="center"/>
    </xf>
    <xf numFmtId="0" fontId="0" fillId="0" borderId="0" xfId="0" applyFont="1" applyFill="1" applyAlignment="1">
      <alignment wrapText="1"/>
    </xf>
    <xf numFmtId="169" fontId="0" fillId="0" borderId="0" xfId="0" applyNumberFormat="1" applyFont="1" applyFill="1"/>
    <xf numFmtId="10" fontId="0" fillId="0" borderId="0" xfId="3" applyNumberFormat="1" applyFont="1" applyFill="1"/>
    <xf numFmtId="0" fontId="0" fillId="0" borderId="0" xfId="0" applyFont="1" applyFill="1" applyAlignment="1">
      <alignment horizontal="left" wrapText="1"/>
    </xf>
    <xf numFmtId="0" fontId="0" fillId="0" borderId="0" xfId="0" applyNumberFormat="1" applyFont="1" applyFill="1" applyAlignment="1"/>
    <xf numFmtId="170" fontId="6" fillId="4" borderId="0" xfId="0" applyNumberFormat="1" applyFont="1" applyFill="1"/>
    <xf numFmtId="0" fontId="20" fillId="17" borderId="10" xfId="0" applyFont="1" applyFill="1" applyBorder="1" applyAlignment="1">
      <alignment horizontal="right"/>
    </xf>
    <xf numFmtId="166" fontId="0" fillId="0" borderId="0" xfId="0" applyNumberFormat="1"/>
    <xf numFmtId="0" fontId="0" fillId="0" borderId="0" xfId="0" applyNumberFormat="1"/>
    <xf numFmtId="0" fontId="29" fillId="0" borderId="0" xfId="2" applyFont="1"/>
    <xf numFmtId="0" fontId="26" fillId="0" borderId="0" xfId="0" applyFont="1" applyFill="1" applyAlignment="1">
      <alignment vertical="top" wrapText="1"/>
    </xf>
    <xf numFmtId="0" fontId="27" fillId="0" borderId="0" xfId="4" applyFont="1" applyFill="1" applyAlignment="1">
      <alignment vertical="top" wrapText="1"/>
    </xf>
    <xf numFmtId="0" fontId="31" fillId="0" borderId="0" xfId="0" applyFont="1"/>
    <xf numFmtId="0" fontId="26" fillId="0" borderId="0" xfId="0" applyFont="1" applyFill="1" applyAlignment="1">
      <alignment horizontal="left" vertical="top" wrapText="1"/>
    </xf>
    <xf numFmtId="0" fontId="32" fillId="0" borderId="0" xfId="0" applyFont="1"/>
    <xf numFmtId="0" fontId="27" fillId="0" borderId="0" xfId="0" applyFont="1" applyFill="1"/>
    <xf numFmtId="10" fontId="27" fillId="0" borderId="0" xfId="0" applyNumberFormat="1" applyFont="1" applyFill="1"/>
    <xf numFmtId="0" fontId="29" fillId="0" borderId="0" xfId="2" applyFont="1" applyAlignment="1">
      <alignment vertical="center"/>
    </xf>
    <xf numFmtId="0" fontId="7" fillId="4" borderId="2" xfId="0" applyFont="1" applyFill="1" applyBorder="1" applyAlignment="1">
      <alignment horizontal="center" vertical="center" wrapText="1"/>
    </xf>
    <xf numFmtId="0" fontId="7" fillId="4" borderId="0" xfId="0" applyFont="1" applyFill="1" applyBorder="1" applyAlignment="1">
      <alignment horizontal="center" vertical="center" wrapText="1"/>
    </xf>
    <xf numFmtId="2" fontId="6" fillId="4" borderId="0" xfId="0" applyNumberFormat="1" applyFont="1" applyFill="1" applyBorder="1"/>
    <xf numFmtId="10" fontId="6" fillId="4" borderId="0" xfId="3" applyNumberFormat="1" applyFont="1" applyFill="1" applyBorder="1" applyAlignment="1">
      <alignment horizontal="center" vertical="center"/>
    </xf>
    <xf numFmtId="2" fontId="6" fillId="18" borderId="8" xfId="0" applyNumberFormat="1" applyFont="1" applyFill="1" applyBorder="1" applyAlignment="1">
      <alignment horizontal="center" vertical="center"/>
    </xf>
    <xf numFmtId="2" fontId="6" fillId="18" borderId="9" xfId="0" applyNumberFormat="1" applyFont="1" applyFill="1" applyBorder="1" applyAlignment="1">
      <alignment horizontal="center" vertical="center"/>
    </xf>
    <xf numFmtId="166" fontId="6" fillId="12" borderId="35" xfId="1" applyNumberFormat="1" applyFont="1" applyFill="1" applyBorder="1" applyAlignment="1">
      <alignment horizontal="center" vertical="center"/>
    </xf>
    <xf numFmtId="0" fontId="7" fillId="8" borderId="38" xfId="0" applyFont="1" applyFill="1" applyBorder="1" applyAlignment="1">
      <alignment horizontal="center" vertical="center" wrapText="1"/>
    </xf>
    <xf numFmtId="166" fontId="6" fillId="12" borderId="40" xfId="1" applyNumberFormat="1" applyFont="1" applyFill="1" applyBorder="1" applyAlignment="1">
      <alignment horizontal="center" vertical="center"/>
    </xf>
    <xf numFmtId="0" fontId="0" fillId="0" borderId="0" xfId="0" applyFont="1" applyAlignment="1"/>
    <xf numFmtId="0" fontId="0" fillId="0" borderId="0" xfId="0" applyFont="1" applyAlignment="1">
      <alignment horizontal="left"/>
    </xf>
    <xf numFmtId="0" fontId="0" fillId="0" borderId="0" xfId="0" applyFont="1" applyAlignment="1">
      <alignment vertical="top"/>
    </xf>
    <xf numFmtId="0" fontId="0" fillId="0" borderId="0" xfId="0" applyFill="1" applyBorder="1"/>
    <xf numFmtId="0" fontId="19" fillId="0" borderId="0" xfId="0" applyFont="1" applyFill="1" applyBorder="1"/>
    <xf numFmtId="0" fontId="5" fillId="0" borderId="0" xfId="0" applyFont="1"/>
    <xf numFmtId="0" fontId="7" fillId="8" borderId="41" xfId="0" applyFont="1" applyFill="1" applyBorder="1" applyAlignment="1">
      <alignment horizontal="center" vertical="center" wrapText="1"/>
    </xf>
    <xf numFmtId="9" fontId="8" fillId="0" borderId="0" xfId="0" applyNumberFormat="1" applyFont="1" applyFill="1" applyBorder="1"/>
    <xf numFmtId="9" fontId="6" fillId="0" borderId="0" xfId="0" applyNumberFormat="1" applyFont="1" applyFill="1" applyBorder="1"/>
    <xf numFmtId="0" fontId="1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2" fontId="6" fillId="4" borderId="0" xfId="0" applyNumberFormat="1" applyFont="1" applyFill="1" applyBorder="1" applyAlignment="1">
      <alignment horizontal="center" vertical="center"/>
    </xf>
    <xf numFmtId="0" fontId="0" fillId="4" borderId="0" xfId="0" applyFill="1"/>
    <xf numFmtId="0" fontId="12" fillId="15" borderId="1" xfId="0" applyFont="1" applyFill="1" applyBorder="1"/>
    <xf numFmtId="0" fontId="19" fillId="15" borderId="1" xfId="0" applyFont="1" applyFill="1" applyBorder="1"/>
    <xf numFmtId="166" fontId="19" fillId="16" borderId="1" xfId="0" applyNumberFormat="1" applyFont="1" applyFill="1" applyBorder="1" applyAlignment="1">
      <alignment horizontal="right"/>
    </xf>
    <xf numFmtId="0" fontId="7" fillId="3" borderId="45" xfId="0" applyFont="1" applyFill="1" applyBorder="1" applyAlignment="1">
      <alignment horizontal="center" vertical="center" wrapText="1"/>
    </xf>
    <xf numFmtId="9" fontId="6" fillId="5" borderId="46" xfId="0" applyNumberFormat="1" applyFont="1" applyFill="1" applyBorder="1" applyAlignment="1">
      <alignment horizontal="center" vertical="center"/>
    </xf>
    <xf numFmtId="0" fontId="7" fillId="4" borderId="10" xfId="0" applyFont="1" applyFill="1" applyBorder="1" applyAlignment="1">
      <alignment horizontal="center" vertical="center" wrapText="1"/>
    </xf>
    <xf numFmtId="168" fontId="6" fillId="4" borderId="0" xfId="0" applyNumberFormat="1" applyFont="1" applyFill="1" applyBorder="1" applyAlignment="1">
      <alignment horizontal="center"/>
    </xf>
    <xf numFmtId="0" fontId="6" fillId="11" borderId="0" xfId="0" applyFont="1" applyFill="1" applyBorder="1" applyAlignment="1">
      <alignment horizontal="center" vertical="center"/>
    </xf>
    <xf numFmtId="0" fontId="7" fillId="3" borderId="49" xfId="0" applyFont="1" applyFill="1" applyBorder="1" applyAlignment="1">
      <alignment horizontal="center" vertical="center" wrapText="1"/>
    </xf>
    <xf numFmtId="0" fontId="6" fillId="4" borderId="50" xfId="0" applyFont="1" applyFill="1" applyBorder="1"/>
    <xf numFmtId="0" fontId="7" fillId="6" borderId="52" xfId="0" applyFont="1" applyFill="1" applyBorder="1" applyAlignment="1">
      <alignment vertical="center" wrapText="1"/>
    </xf>
    <xf numFmtId="9" fontId="6" fillId="7" borderId="53" xfId="3" applyFont="1" applyFill="1" applyBorder="1" applyAlignment="1">
      <alignment horizontal="center" vertical="center"/>
    </xf>
    <xf numFmtId="166" fontId="6" fillId="7" borderId="54" xfId="0" applyNumberFormat="1" applyFont="1" applyFill="1" applyBorder="1" applyAlignment="1">
      <alignment horizontal="center" vertical="center"/>
    </xf>
    <xf numFmtId="166" fontId="6" fillId="7" borderId="55" xfId="0" applyNumberFormat="1" applyFont="1" applyFill="1" applyBorder="1" applyAlignment="1">
      <alignment horizontal="center" vertical="center"/>
    </xf>
    <xf numFmtId="0" fontId="7" fillId="6" borderId="56" xfId="0" applyFont="1" applyFill="1" applyBorder="1" applyAlignment="1">
      <alignment horizontal="center" vertical="center" wrapText="1"/>
    </xf>
    <xf numFmtId="0" fontId="7" fillId="6" borderId="49" xfId="0" applyFont="1" applyFill="1" applyBorder="1" applyAlignment="1">
      <alignment horizontal="center" vertical="center" wrapText="1"/>
    </xf>
    <xf numFmtId="0" fontId="7" fillId="3" borderId="57" xfId="0" applyFont="1" applyFill="1" applyBorder="1" applyAlignment="1">
      <alignment horizontal="center" vertical="center" wrapText="1"/>
    </xf>
    <xf numFmtId="9" fontId="6" fillId="5" borderId="58" xfId="0" applyNumberFormat="1" applyFont="1" applyFill="1" applyBorder="1" applyAlignment="1">
      <alignment horizontal="center" vertical="center"/>
    </xf>
    <xf numFmtId="0" fontId="6" fillId="5" borderId="24" xfId="0" applyNumberFormat="1" applyFont="1" applyFill="1" applyBorder="1" applyAlignment="1">
      <alignment horizontal="center" vertical="center"/>
    </xf>
    <xf numFmtId="0" fontId="7" fillId="6" borderId="34" xfId="0" applyFont="1" applyFill="1" applyBorder="1" applyAlignment="1">
      <alignment horizontal="center" vertical="center" wrapText="1"/>
    </xf>
    <xf numFmtId="9" fontId="6" fillId="7" borderId="33" xfId="3" applyFont="1" applyFill="1" applyBorder="1" applyAlignment="1">
      <alignment horizontal="center" vertical="center"/>
    </xf>
    <xf numFmtId="0" fontId="7" fillId="3" borderId="59" xfId="0" applyFont="1" applyFill="1" applyBorder="1" applyAlignment="1">
      <alignment horizontal="center" vertical="center" wrapText="1"/>
    </xf>
    <xf numFmtId="167" fontId="6" fillId="5" borderId="24" xfId="0" applyNumberFormat="1" applyFont="1" applyFill="1" applyBorder="1" applyAlignment="1">
      <alignment horizontal="center" vertical="center"/>
    </xf>
    <xf numFmtId="0" fontId="13" fillId="4" borderId="3" xfId="0" applyFont="1" applyFill="1" applyBorder="1" applyAlignment="1">
      <alignment vertical="center" wrapText="1"/>
    </xf>
    <xf numFmtId="0" fontId="7" fillId="4" borderId="1" xfId="0" applyFont="1" applyFill="1" applyBorder="1" applyAlignment="1">
      <alignment vertical="center" wrapText="1"/>
    </xf>
    <xf numFmtId="167" fontId="6" fillId="4" borderId="1" xfId="0" applyNumberFormat="1" applyFont="1" applyFill="1" applyBorder="1" applyAlignment="1">
      <alignment vertical="center"/>
    </xf>
    <xf numFmtId="166" fontId="6" fillId="4" borderId="9" xfId="1" applyNumberFormat="1" applyFont="1" applyFill="1" applyBorder="1" applyAlignment="1">
      <alignment vertical="center"/>
    </xf>
    <xf numFmtId="9" fontId="6" fillId="7" borderId="60" xfId="3" applyFont="1" applyFill="1" applyBorder="1" applyAlignment="1">
      <alignment horizontal="center" vertical="center"/>
    </xf>
    <xf numFmtId="0" fontId="7" fillId="6" borderId="61" xfId="0" applyFont="1" applyFill="1" applyBorder="1" applyAlignment="1">
      <alignment horizontal="center" vertical="center" wrapText="1"/>
    </xf>
    <xf numFmtId="167" fontId="6" fillId="7" borderId="62" xfId="0" applyNumberFormat="1" applyFont="1" applyFill="1" applyBorder="1" applyAlignment="1">
      <alignment horizontal="center" vertical="center"/>
    </xf>
    <xf numFmtId="166" fontId="6" fillId="4" borderId="0" xfId="0" applyNumberFormat="1" applyFont="1" applyFill="1"/>
    <xf numFmtId="168" fontId="6" fillId="11" borderId="0" xfId="0" applyNumberFormat="1" applyFont="1" applyFill="1" applyBorder="1" applyAlignment="1">
      <alignment horizontal="center" vertical="center"/>
    </xf>
    <xf numFmtId="0" fontId="7" fillId="6" borderId="63" xfId="0" applyFont="1" applyFill="1" applyBorder="1" applyAlignment="1">
      <alignment horizontal="center" vertical="center" wrapText="1"/>
    </xf>
    <xf numFmtId="0" fontId="30" fillId="0" borderId="0" xfId="2" applyFont="1"/>
    <xf numFmtId="0" fontId="37" fillId="0" borderId="0" xfId="0" applyFont="1"/>
    <xf numFmtId="0" fontId="7" fillId="3" borderId="23" xfId="0" applyFont="1" applyFill="1" applyBorder="1" applyAlignment="1">
      <alignment horizontal="center" vertical="center" wrapText="1"/>
    </xf>
    <xf numFmtId="9" fontId="6" fillId="5" borderId="24" xfId="0" applyNumberFormat="1" applyFont="1" applyFill="1" applyBorder="1" applyAlignment="1">
      <alignment horizontal="center" vertical="center"/>
    </xf>
    <xf numFmtId="10" fontId="0" fillId="0" borderId="0" xfId="3" applyNumberFormat="1" applyFont="1" applyAlignment="1">
      <alignment horizontal="right"/>
    </xf>
    <xf numFmtId="166" fontId="0" fillId="0" borderId="0" xfId="3" applyNumberFormat="1" applyFont="1" applyAlignment="1">
      <alignment horizontal="right"/>
    </xf>
    <xf numFmtId="2" fontId="0" fillId="0" borderId="0" xfId="3" applyNumberFormat="1" applyFont="1" applyAlignment="1">
      <alignment horizontal="right"/>
    </xf>
    <xf numFmtId="9" fontId="0" fillId="0" borderId="0" xfId="0" applyNumberFormat="1" applyFont="1"/>
    <xf numFmtId="0" fontId="7" fillId="4" borderId="2" xfId="0" applyFont="1" applyFill="1" applyBorder="1" applyAlignment="1">
      <alignment horizontal="centerContinuous"/>
    </xf>
    <xf numFmtId="10" fontId="6" fillId="4" borderId="0" xfId="0" applyNumberFormat="1" applyFont="1" applyFill="1" applyBorder="1" applyAlignment="1">
      <alignment horizontal="center" vertical="center"/>
    </xf>
    <xf numFmtId="9" fontId="6" fillId="4" borderId="0" xfId="0" applyNumberFormat="1" applyFont="1" applyFill="1" applyBorder="1" applyAlignment="1">
      <alignment horizontal="center" vertical="center"/>
    </xf>
    <xf numFmtId="9" fontId="6" fillId="4" borderId="0" xfId="3" applyFont="1" applyFill="1" applyBorder="1" applyAlignment="1">
      <alignment horizontal="center" vertical="center"/>
    </xf>
    <xf numFmtId="166" fontId="6" fillId="4" borderId="0" xfId="0" applyNumberFormat="1" applyFont="1" applyFill="1" applyBorder="1" applyAlignment="1">
      <alignment horizontal="center" vertical="center"/>
    </xf>
    <xf numFmtId="0" fontId="6" fillId="4" borderId="0" xfId="0" applyFont="1" applyFill="1" applyBorder="1" applyAlignment="1">
      <alignment vertical="top"/>
    </xf>
    <xf numFmtId="0" fontId="7" fillId="2" borderId="2" xfId="0" applyFont="1" applyFill="1" applyBorder="1" applyAlignment="1">
      <alignment horizontal="center" vertical="center" wrapText="1"/>
    </xf>
    <xf numFmtId="168" fontId="6" fillId="11" borderId="0" xfId="0" applyNumberFormat="1" applyFont="1" applyFill="1" applyBorder="1" applyAlignment="1">
      <alignment horizontal="center"/>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7" fillId="8" borderId="18" xfId="0" applyFont="1" applyFill="1" applyBorder="1" applyAlignment="1">
      <alignment horizontal="center" vertical="center" wrapText="1"/>
    </xf>
    <xf numFmtId="2" fontId="6" fillId="11" borderId="1" xfId="0" applyNumberFormat="1" applyFont="1" applyFill="1" applyBorder="1" applyAlignment="1">
      <alignment horizontal="center" vertical="center"/>
    </xf>
    <xf numFmtId="0" fontId="7" fillId="4" borderId="1" xfId="0" applyFont="1" applyFill="1" applyBorder="1"/>
    <xf numFmtId="9" fontId="6" fillId="12" borderId="42" xfId="3" applyFont="1" applyFill="1" applyBorder="1" applyAlignment="1">
      <alignment horizontal="center" vertical="center"/>
    </xf>
    <xf numFmtId="0" fontId="7" fillId="3" borderId="67" xfId="0" applyFont="1" applyFill="1" applyBorder="1" applyAlignment="1">
      <alignment horizontal="center" vertical="center" wrapText="1"/>
    </xf>
    <xf numFmtId="10" fontId="6" fillId="5" borderId="68" xfId="0" applyNumberFormat="1" applyFont="1" applyFill="1" applyBorder="1" applyAlignment="1">
      <alignment horizontal="center" vertical="center"/>
    </xf>
    <xf numFmtId="0" fontId="7" fillId="3" borderId="61" xfId="0" applyFont="1" applyFill="1" applyBorder="1" applyAlignment="1">
      <alignment horizontal="center" vertical="center" wrapText="1"/>
    </xf>
    <xf numFmtId="9" fontId="6" fillId="5" borderId="60" xfId="0" applyNumberFormat="1" applyFont="1" applyFill="1" applyBorder="1" applyAlignment="1">
      <alignment horizontal="center" vertical="center"/>
    </xf>
    <xf numFmtId="0" fontId="7" fillId="3" borderId="69" xfId="0" applyFont="1" applyFill="1" applyBorder="1" applyAlignment="1">
      <alignment horizontal="center" vertical="center" wrapText="1"/>
    </xf>
    <xf numFmtId="9" fontId="6" fillId="5" borderId="70" xfId="0" applyNumberFormat="1" applyFont="1" applyFill="1" applyBorder="1" applyAlignment="1">
      <alignment horizontal="center" vertical="center"/>
    </xf>
    <xf numFmtId="166" fontId="6" fillId="5" borderId="68" xfId="0" applyNumberFormat="1" applyFont="1" applyFill="1" applyBorder="1" applyAlignment="1">
      <alignment horizontal="center" vertical="center"/>
    </xf>
    <xf numFmtId="0" fontId="6" fillId="0" borderId="8" xfId="0" applyFont="1" applyBorder="1"/>
    <xf numFmtId="0" fontId="6" fillId="4" borderId="9" xfId="0" applyFont="1" applyFill="1" applyBorder="1"/>
    <xf numFmtId="166" fontId="0" fillId="4" borderId="0" xfId="0" applyNumberFormat="1" applyFill="1"/>
    <xf numFmtId="0" fontId="0" fillId="4" borderId="0" xfId="0" applyNumberFormat="1" applyFill="1"/>
    <xf numFmtId="0" fontId="6" fillId="12" borderId="35" xfId="1" applyNumberFormat="1" applyFont="1" applyFill="1" applyBorder="1" applyAlignment="1">
      <alignment horizontal="center" vertical="center"/>
    </xf>
    <xf numFmtId="0" fontId="6" fillId="9" borderId="75" xfId="0" applyFont="1" applyFill="1" applyBorder="1" applyAlignment="1">
      <alignment horizontal="left" vertical="top" wrapText="1"/>
    </xf>
    <xf numFmtId="0" fontId="6" fillId="9" borderId="76" xfId="0" applyFont="1" applyFill="1" applyBorder="1" applyAlignment="1">
      <alignment horizontal="left" vertical="top" wrapText="1"/>
    </xf>
    <xf numFmtId="0" fontId="11" fillId="9" borderId="77" xfId="2" applyFont="1" applyFill="1" applyBorder="1" applyAlignment="1">
      <alignment horizontal="left" vertical="top" wrapText="1"/>
    </xf>
    <xf numFmtId="0" fontId="7" fillId="4" borderId="6" xfId="0" applyFont="1" applyFill="1" applyBorder="1" applyAlignment="1">
      <alignment vertical="center" wrapText="1"/>
    </xf>
    <xf numFmtId="172" fontId="6" fillId="11" borderId="0" xfId="0" applyNumberFormat="1" applyFont="1" applyFill="1" applyBorder="1" applyAlignment="1">
      <alignment horizontal="center" vertical="center"/>
    </xf>
    <xf numFmtId="173" fontId="6" fillId="11" borderId="0" xfId="0" applyNumberFormat="1" applyFont="1" applyFill="1" applyBorder="1" applyAlignment="1">
      <alignment horizontal="center" vertical="center"/>
    </xf>
    <xf numFmtId="166" fontId="6" fillId="11" borderId="8" xfId="0" applyNumberFormat="1" applyFont="1" applyFill="1" applyBorder="1" applyAlignment="1">
      <alignment horizontal="center" vertical="center"/>
    </xf>
    <xf numFmtId="0" fontId="17" fillId="4" borderId="8" xfId="0" applyFont="1" applyFill="1" applyBorder="1" applyAlignment="1">
      <alignment vertical="center" wrapText="1"/>
    </xf>
    <xf numFmtId="0" fontId="17" fillId="4" borderId="8" xfId="0" applyFont="1" applyFill="1" applyBorder="1" applyAlignment="1">
      <alignment horizontal="center" vertical="center" wrapText="1"/>
    </xf>
    <xf numFmtId="0" fontId="17" fillId="4" borderId="0" xfId="0" applyFont="1" applyFill="1" applyBorder="1" applyAlignment="1"/>
    <xf numFmtId="0" fontId="37" fillId="0" borderId="0" xfId="0" applyFont="1" applyAlignment="1">
      <alignment wrapText="1"/>
    </xf>
    <xf numFmtId="166" fontId="0" fillId="0" borderId="0" xfId="0" applyNumberFormat="1" applyFont="1" applyFill="1"/>
    <xf numFmtId="9" fontId="0" fillId="0" borderId="0" xfId="3" applyFont="1" applyFill="1"/>
    <xf numFmtId="9" fontId="0" fillId="0" borderId="0" xfId="3" applyFont="1"/>
    <xf numFmtId="10" fontId="0" fillId="0" borderId="0" xfId="3" applyNumberFormat="1" applyFont="1"/>
    <xf numFmtId="167" fontId="0" fillId="0" borderId="0" xfId="3" applyNumberFormat="1" applyFont="1" applyFill="1"/>
    <xf numFmtId="0" fontId="7" fillId="8" borderId="18" xfId="0" applyFont="1" applyFill="1" applyBorder="1" applyAlignment="1">
      <alignment horizontal="center" vertical="center" wrapText="1"/>
    </xf>
    <xf numFmtId="166" fontId="6" fillId="12" borderId="37" xfId="1" applyNumberFormat="1" applyFont="1" applyFill="1" applyBorder="1" applyAlignment="1">
      <alignment horizontal="center" vertical="center"/>
    </xf>
    <xf numFmtId="166" fontId="6" fillId="12" borderId="64" xfId="1" applyNumberFormat="1" applyFont="1" applyFill="1" applyBorder="1" applyAlignment="1">
      <alignment horizontal="center" vertical="center"/>
    </xf>
    <xf numFmtId="168" fontId="6" fillId="11" borderId="0" xfId="0" applyNumberFormat="1" applyFont="1" applyFill="1" applyBorder="1" applyAlignment="1">
      <alignment horizontal="center"/>
    </xf>
    <xf numFmtId="0" fontId="7" fillId="10"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2" fontId="6" fillId="11" borderId="1"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8" fontId="6" fillId="11" borderId="0" xfId="0" applyNumberFormat="1" applyFont="1" applyFill="1" applyBorder="1" applyAlignment="1">
      <alignment horizontal="center" vertical="center"/>
    </xf>
    <xf numFmtId="172" fontId="6" fillId="11" borderId="0"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8" borderId="65" xfId="0" applyFont="1" applyFill="1" applyBorder="1" applyAlignment="1">
      <alignment horizontal="center" vertical="center" wrapText="1"/>
    </xf>
    <xf numFmtId="0" fontId="7" fillId="8" borderId="66" xfId="0" applyFont="1" applyFill="1" applyBorder="1" applyAlignment="1">
      <alignment horizontal="center" vertical="center" wrapText="1"/>
    </xf>
    <xf numFmtId="167" fontId="0" fillId="0" borderId="0" xfId="0" applyNumberFormat="1" applyFont="1" applyFill="1"/>
    <xf numFmtId="167" fontId="0" fillId="0" borderId="0" xfId="3" applyNumberFormat="1" applyFont="1"/>
    <xf numFmtId="0" fontId="12" fillId="15" borderId="83" xfId="0" applyFont="1" applyFill="1" applyBorder="1" applyAlignment="1">
      <alignment horizontal="center" vertical="center"/>
    </xf>
    <xf numFmtId="0" fontId="12" fillId="15" borderId="84" xfId="0" applyFont="1" applyFill="1" applyBorder="1" applyAlignment="1">
      <alignment horizontal="center" vertical="center"/>
    </xf>
    <xf numFmtId="0" fontId="12" fillId="15" borderId="89" xfId="0" applyFont="1" applyFill="1" applyBorder="1" applyAlignment="1">
      <alignment horizontal="center" vertical="center"/>
    </xf>
    <xf numFmtId="0" fontId="12" fillId="15" borderId="90" xfId="0" applyFont="1" applyFill="1" applyBorder="1" applyAlignment="1">
      <alignment horizontal="center" vertical="center"/>
    </xf>
    <xf numFmtId="0" fontId="12" fillId="15" borderId="91" xfId="0" applyFont="1" applyFill="1" applyBorder="1" applyAlignment="1">
      <alignment horizontal="center" vertical="center"/>
    </xf>
    <xf numFmtId="0" fontId="12" fillId="4" borderId="0" xfId="0" applyFont="1" applyFill="1" applyAlignment="1">
      <alignment vertical="top" wrapText="1"/>
    </xf>
    <xf numFmtId="0" fontId="21" fillId="4" borderId="1" xfId="0" applyFont="1" applyFill="1" applyBorder="1" applyAlignment="1">
      <alignment vertical="center"/>
    </xf>
    <xf numFmtId="0" fontId="21" fillId="4" borderId="0" xfId="0" applyFont="1" applyFill="1" applyBorder="1" applyAlignment="1">
      <alignment vertical="center"/>
    </xf>
    <xf numFmtId="172" fontId="0" fillId="0" borderId="0" xfId="0" applyNumberFormat="1" applyFont="1" applyFill="1"/>
    <xf numFmtId="174" fontId="0" fillId="0" borderId="0" xfId="0" applyNumberFormat="1" applyFont="1" applyFill="1" applyAlignment="1"/>
    <xf numFmtId="174" fontId="0" fillId="0" borderId="0" xfId="0" applyNumberFormat="1" applyFont="1" applyFill="1"/>
    <xf numFmtId="174" fontId="0" fillId="0" borderId="0" xfId="3" applyNumberFormat="1" applyFont="1" applyFill="1"/>
    <xf numFmtId="1" fontId="0" fillId="0" borderId="0" xfId="0" applyNumberFormat="1" applyFont="1" applyFill="1"/>
    <xf numFmtId="173" fontId="6" fillId="11" borderId="0" xfId="0" applyNumberFormat="1" applyFont="1" applyFill="1" applyBorder="1" applyAlignment="1">
      <alignment horizontal="center" vertical="center"/>
    </xf>
    <xf numFmtId="0" fontId="7" fillId="8" borderId="18" xfId="0" applyFont="1" applyFill="1" applyBorder="1" applyAlignment="1">
      <alignment horizontal="center" vertical="center" wrapText="1"/>
    </xf>
    <xf numFmtId="166" fontId="6" fillId="12" borderId="37" xfId="1" applyNumberFormat="1" applyFont="1" applyFill="1" applyBorder="1" applyAlignment="1">
      <alignment horizontal="center" vertical="center"/>
    </xf>
    <xf numFmtId="168" fontId="6" fillId="11" borderId="0" xfId="0" applyNumberFormat="1" applyFont="1" applyFill="1" applyBorder="1" applyAlignment="1">
      <alignment horizontal="center"/>
    </xf>
    <xf numFmtId="0" fontId="7" fillId="10"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2" fontId="6" fillId="11" borderId="1"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8" fontId="6" fillId="11" borderId="0" xfId="0" applyNumberFormat="1" applyFont="1" applyFill="1" applyBorder="1" applyAlignment="1">
      <alignment horizontal="center" vertical="center"/>
    </xf>
    <xf numFmtId="172" fontId="6" fillId="11" borderId="0"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167" fontId="6" fillId="5" borderId="60" xfId="0" applyNumberFormat="1" applyFont="1" applyFill="1" applyBorder="1" applyAlignment="1">
      <alignment horizontal="center" vertical="center"/>
    </xf>
    <xf numFmtId="167" fontId="6" fillId="5" borderId="70" xfId="0" applyNumberFormat="1" applyFont="1" applyFill="1" applyBorder="1" applyAlignment="1">
      <alignment horizontal="center" vertical="center"/>
    </xf>
    <xf numFmtId="164" fontId="0" fillId="0" borderId="0" xfId="0" applyNumberFormat="1" applyFont="1" applyFill="1"/>
    <xf numFmtId="0" fontId="7" fillId="2" borderId="2" xfId="0" applyFont="1" applyFill="1" applyBorder="1" applyAlignment="1">
      <alignment horizontal="center" vertical="center" wrapText="1"/>
    </xf>
    <xf numFmtId="168" fontId="6" fillId="11" borderId="0" xfId="0" applyNumberFormat="1" applyFont="1" applyFill="1" applyBorder="1" applyAlignment="1">
      <alignment horizontal="center"/>
    </xf>
    <xf numFmtId="0" fontId="7" fillId="10"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2" fontId="6" fillId="11" borderId="1"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8" fontId="6" fillId="11" borderId="0" xfId="0" applyNumberFormat="1" applyFont="1" applyFill="1" applyBorder="1" applyAlignment="1">
      <alignment horizontal="center" vertical="center"/>
    </xf>
    <xf numFmtId="172" fontId="6" fillId="11" borderId="0" xfId="0" applyNumberFormat="1" applyFont="1" applyFill="1" applyBorder="1" applyAlignment="1">
      <alignment horizontal="center" vertical="center"/>
    </xf>
    <xf numFmtId="0" fontId="7" fillId="8" borderId="18" xfId="0" applyFont="1" applyFill="1" applyBorder="1" applyAlignment="1">
      <alignment horizontal="center" vertical="center" wrapText="1"/>
    </xf>
    <xf numFmtId="166" fontId="6" fillId="12" borderId="37" xfId="1" applyNumberFormat="1" applyFont="1" applyFill="1" applyBorder="1" applyAlignment="1">
      <alignment horizontal="center" vertical="center"/>
    </xf>
    <xf numFmtId="173" fontId="6" fillId="11" borderId="0" xfId="0" applyNumberFormat="1" applyFont="1" applyFill="1" applyBorder="1" applyAlignment="1">
      <alignment horizontal="center" vertical="center"/>
    </xf>
    <xf numFmtId="10" fontId="6" fillId="5" borderId="24"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168" fontId="6" fillId="11" borderId="0" xfId="0" applyNumberFormat="1" applyFont="1" applyFill="1" applyBorder="1" applyAlignment="1">
      <alignment horizontal="center"/>
    </xf>
    <xf numFmtId="0" fontId="7" fillId="10"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2" fontId="6" fillId="11" borderId="1"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8" fontId="6" fillId="11" borderId="0" xfId="0" applyNumberFormat="1" applyFont="1" applyFill="1" applyBorder="1" applyAlignment="1">
      <alignment horizontal="center" vertical="center"/>
    </xf>
    <xf numFmtId="172" fontId="6" fillId="11" borderId="0" xfId="0" applyNumberFormat="1" applyFont="1" applyFill="1" applyBorder="1" applyAlignment="1">
      <alignment horizontal="center" vertical="center"/>
    </xf>
    <xf numFmtId="0" fontId="7" fillId="8" borderId="18" xfId="0" applyFont="1" applyFill="1" applyBorder="1" applyAlignment="1">
      <alignment horizontal="center" vertical="center" wrapText="1"/>
    </xf>
    <xf numFmtId="166" fontId="6" fillId="12" borderId="37" xfId="1" applyNumberFormat="1" applyFont="1" applyFill="1" applyBorder="1" applyAlignment="1">
      <alignment horizontal="center" vertical="center"/>
    </xf>
    <xf numFmtId="173" fontId="6" fillId="11" borderId="0" xfId="0" applyNumberFormat="1" applyFont="1" applyFill="1" applyBorder="1" applyAlignment="1">
      <alignment horizontal="center" vertical="center"/>
    </xf>
    <xf numFmtId="9" fontId="39" fillId="19" borderId="70" xfId="0" applyNumberFormat="1" applyFont="1" applyFill="1" applyBorder="1" applyAlignment="1">
      <alignment horizontal="center" vertical="center"/>
    </xf>
    <xf numFmtId="10" fontId="39" fillId="19" borderId="68" xfId="0" applyNumberFormat="1" applyFont="1" applyFill="1" applyBorder="1" applyAlignment="1">
      <alignment horizontal="center" vertical="center"/>
    </xf>
    <xf numFmtId="9" fontId="39" fillId="19" borderId="97" xfId="0" applyNumberFormat="1" applyFont="1" applyFill="1" applyBorder="1" applyAlignment="1">
      <alignment horizontal="center" vertical="center"/>
    </xf>
    <xf numFmtId="9" fontId="39" fillId="19" borderId="98" xfId="0" applyNumberFormat="1" applyFont="1" applyFill="1" applyBorder="1" applyAlignment="1">
      <alignment horizontal="center" vertical="center"/>
    </xf>
    <xf numFmtId="9" fontId="39" fillId="19" borderId="99" xfId="0" applyNumberFormat="1" applyFont="1" applyFill="1" applyBorder="1" applyAlignment="1">
      <alignment horizontal="center" vertical="center"/>
    </xf>
    <xf numFmtId="167" fontId="39" fillId="19" borderId="98" xfId="0" applyNumberFormat="1" applyFont="1" applyFill="1" applyBorder="1" applyAlignment="1">
      <alignment horizontal="center" vertical="center"/>
    </xf>
    <xf numFmtId="9" fontId="39" fillId="19" borderId="100" xfId="0" applyNumberFormat="1" applyFont="1" applyFill="1" applyBorder="1" applyAlignment="1">
      <alignment horizontal="center" vertical="center"/>
    </xf>
    <xf numFmtId="0" fontId="39" fillId="19" borderId="98" xfId="0" applyNumberFormat="1" applyFont="1" applyFill="1" applyBorder="1" applyAlignment="1">
      <alignment horizontal="center" vertical="center"/>
    </xf>
    <xf numFmtId="173" fontId="6" fillId="11" borderId="0" xfId="0" applyNumberFormat="1" applyFont="1" applyFill="1" applyBorder="1" applyAlignment="1">
      <alignment horizontal="center" vertical="center"/>
    </xf>
    <xf numFmtId="0" fontId="7" fillId="10" borderId="10" xfId="0" applyFont="1" applyFill="1" applyBorder="1" applyAlignment="1">
      <alignment horizontal="center" vertical="center" wrapText="1"/>
    </xf>
    <xf numFmtId="0" fontId="7" fillId="8" borderId="18" xfId="0" applyFont="1" applyFill="1" applyBorder="1" applyAlignment="1">
      <alignment horizontal="center" vertical="center" wrapText="1"/>
    </xf>
    <xf numFmtId="166" fontId="6" fillId="12" borderId="37" xfId="1" applyNumberFormat="1" applyFont="1" applyFill="1" applyBorder="1" applyAlignment="1">
      <alignment horizontal="center" vertical="center"/>
    </xf>
    <xf numFmtId="168" fontId="6" fillId="11" borderId="0" xfId="0" applyNumberFormat="1" applyFont="1" applyFill="1" applyBorder="1" applyAlignment="1">
      <alignment horizontal="center"/>
    </xf>
    <xf numFmtId="0" fontId="7" fillId="2" borderId="0" xfId="0" applyFont="1" applyFill="1" applyBorder="1" applyAlignment="1">
      <alignment horizontal="center" vertical="center" wrapText="1"/>
    </xf>
    <xf numFmtId="2" fontId="6" fillId="11" borderId="1"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8" fontId="6" fillId="11" borderId="0" xfId="0" applyNumberFormat="1" applyFont="1" applyFill="1" applyBorder="1" applyAlignment="1">
      <alignment horizontal="center" vertical="center"/>
    </xf>
    <xf numFmtId="172" fontId="6" fillId="11" borderId="0"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13" fillId="14" borderId="82" xfId="0" applyFont="1" applyFill="1" applyBorder="1" applyAlignment="1">
      <alignment horizontal="center" vertical="center" wrapText="1"/>
    </xf>
    <xf numFmtId="0" fontId="13" fillId="14" borderId="22" xfId="0" applyFont="1" applyFill="1" applyBorder="1" applyAlignment="1">
      <alignment horizontal="center" vertical="center" wrapText="1"/>
    </xf>
    <xf numFmtId="0" fontId="13" fillId="14" borderId="84" xfId="0" applyFont="1" applyFill="1" applyBorder="1" applyAlignment="1">
      <alignment horizontal="center" vertical="center" wrapText="1"/>
    </xf>
    <xf numFmtId="0" fontId="13" fillId="14" borderId="85" xfId="0" applyFont="1" applyFill="1" applyBorder="1" applyAlignment="1">
      <alignment horizontal="center" vertical="center" wrapText="1"/>
    </xf>
    <xf numFmtId="0" fontId="13" fillId="14" borderId="86" xfId="0" applyFont="1" applyFill="1" applyBorder="1" applyAlignment="1">
      <alignment horizontal="center" vertical="center" wrapText="1"/>
    </xf>
    <xf numFmtId="0" fontId="13" fillId="14" borderId="40" xfId="0" applyFont="1" applyFill="1" applyBorder="1" applyAlignment="1">
      <alignment horizontal="center" vertical="center" wrapText="1"/>
    </xf>
    <xf numFmtId="0" fontId="13" fillId="14" borderId="88" xfId="0" applyFont="1" applyFill="1" applyBorder="1" applyAlignment="1">
      <alignment horizontal="center" vertical="center" wrapText="1"/>
    </xf>
    <xf numFmtId="0" fontId="13" fillId="14" borderId="81" xfId="0" applyFont="1" applyFill="1" applyBorder="1" applyAlignment="1">
      <alignment horizontal="center" vertical="center" wrapText="1"/>
    </xf>
    <xf numFmtId="0" fontId="13" fillId="14" borderId="27" xfId="0" applyFont="1" applyFill="1" applyBorder="1" applyAlignment="1">
      <alignment horizontal="center" vertical="center" wrapText="1"/>
    </xf>
    <xf numFmtId="0" fontId="13" fillId="14" borderId="87" xfId="0" applyFont="1" applyFill="1" applyBorder="1" applyAlignment="1">
      <alignment horizontal="center" vertical="center" wrapText="1"/>
    </xf>
    <xf numFmtId="0" fontId="13" fillId="14" borderId="64" xfId="0" applyFont="1" applyFill="1" applyBorder="1" applyAlignment="1">
      <alignment horizontal="center" vertical="center" wrapText="1"/>
    </xf>
    <xf numFmtId="0" fontId="13" fillId="14" borderId="9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168" fontId="6" fillId="11" borderId="0" xfId="0" applyNumberFormat="1" applyFont="1" applyFill="1" applyBorder="1" applyAlignment="1">
      <alignment horizontal="center"/>
    </xf>
    <xf numFmtId="168" fontId="6" fillId="11" borderId="8" xfId="0" applyNumberFormat="1" applyFont="1" applyFill="1" applyBorder="1" applyAlignment="1">
      <alignment horizontal="center"/>
    </xf>
    <xf numFmtId="0" fontId="21" fillId="4" borderId="6" xfId="0" applyFont="1" applyFill="1" applyBorder="1" applyAlignment="1">
      <alignment horizontal="center"/>
    </xf>
    <xf numFmtId="0" fontId="21" fillId="4" borderId="7" xfId="0" applyFont="1" applyFill="1" applyBorder="1" applyAlignment="1">
      <alignment horizontal="center"/>
    </xf>
    <xf numFmtId="0" fontId="21" fillId="4" borderId="10" xfId="0" applyFont="1" applyFill="1" applyBorder="1" applyAlignment="1">
      <alignment horizontal="center"/>
    </xf>
    <xf numFmtId="0" fontId="21" fillId="4" borderId="8" xfId="0" applyFont="1" applyFill="1" applyBorder="1" applyAlignment="1">
      <alignment horizontal="center"/>
    </xf>
    <xf numFmtId="0" fontId="16" fillId="13" borderId="10" xfId="0" applyFont="1" applyFill="1" applyBorder="1" applyAlignment="1">
      <alignment horizontal="center" vertical="center" wrapText="1"/>
    </xf>
    <xf numFmtId="0" fontId="13" fillId="10" borderId="51" xfId="0" applyFont="1" applyFill="1" applyBorder="1" applyAlignment="1">
      <alignment horizontal="center"/>
    </xf>
    <xf numFmtId="10" fontId="6" fillId="11" borderId="0" xfId="3" applyNumberFormat="1" applyFont="1" applyFill="1" applyBorder="1" applyAlignment="1">
      <alignment horizontal="center" vertical="center"/>
    </xf>
    <xf numFmtId="0" fontId="7" fillId="10" borderId="10" xfId="0" applyFont="1" applyFill="1" applyBorder="1" applyAlignment="1">
      <alignment horizontal="center" vertical="center" wrapText="1"/>
    </xf>
    <xf numFmtId="0" fontId="6" fillId="11" borderId="0" xfId="3" applyNumberFormat="1" applyFont="1" applyFill="1" applyBorder="1" applyAlignment="1">
      <alignment horizontal="center" vertical="center"/>
    </xf>
    <xf numFmtId="0" fontId="13" fillId="10" borderId="11" xfId="0" applyFont="1" applyFill="1" applyBorder="1" applyAlignment="1">
      <alignment horizontal="center"/>
    </xf>
    <xf numFmtId="0" fontId="13" fillId="10" borderId="11"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9" xfId="0" applyFont="1" applyFill="1" applyBorder="1" applyAlignment="1">
      <alignment horizontal="center" vertical="center"/>
    </xf>
    <xf numFmtId="0" fontId="12" fillId="4" borderId="0" xfId="0" applyFont="1" applyFill="1" applyAlignment="1">
      <alignment horizontal="left" vertical="top" wrapText="1"/>
    </xf>
    <xf numFmtId="0" fontId="12" fillId="4" borderId="1" xfId="0" applyFont="1" applyFill="1" applyBorder="1" applyAlignment="1">
      <alignment horizontal="left" vertical="top" wrapText="1"/>
    </xf>
    <xf numFmtId="0" fontId="7" fillId="2" borderId="0" xfId="0" applyFont="1" applyFill="1" applyBorder="1" applyAlignment="1">
      <alignment horizontal="center" vertical="center" wrapText="1"/>
    </xf>
    <xf numFmtId="2" fontId="6" fillId="11" borderId="1" xfId="0" applyNumberFormat="1" applyFont="1" applyFill="1" applyBorder="1" applyAlignment="1">
      <alignment horizontal="center" vertical="center"/>
    </xf>
    <xf numFmtId="0" fontId="7" fillId="10" borderId="3" xfId="0" applyFont="1" applyFill="1" applyBorder="1" applyAlignment="1">
      <alignment horizontal="center" vertical="center" wrapText="1"/>
    </xf>
    <xf numFmtId="10" fontId="6" fillId="11" borderId="1" xfId="3" applyNumberFormat="1" applyFont="1" applyFill="1" applyBorder="1" applyAlignment="1">
      <alignment horizontal="center" vertical="center"/>
    </xf>
    <xf numFmtId="10" fontId="6" fillId="11" borderId="9" xfId="3"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8" fontId="6" fillId="11" borderId="0" xfId="0" applyNumberFormat="1" applyFont="1" applyFill="1" applyBorder="1" applyAlignment="1">
      <alignment horizontal="center" vertical="center"/>
    </xf>
    <xf numFmtId="172" fontId="6" fillId="11" borderId="0" xfId="0" applyNumberFormat="1" applyFont="1" applyFill="1" applyBorder="1" applyAlignment="1">
      <alignment horizontal="center" vertical="center"/>
    </xf>
    <xf numFmtId="0" fontId="13" fillId="13" borderId="30" xfId="0" applyFont="1" applyFill="1" applyBorder="1" applyAlignment="1">
      <alignment horizontal="center" vertical="center" wrapText="1"/>
    </xf>
    <xf numFmtId="0" fontId="15" fillId="13" borderId="28" xfId="0" applyFont="1" applyFill="1" applyBorder="1" applyAlignment="1">
      <alignment horizontal="center" vertical="center" wrapText="1"/>
    </xf>
    <xf numFmtId="0" fontId="15" fillId="13" borderId="29"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32" xfId="0" applyFont="1" applyFill="1" applyBorder="1" applyAlignment="1">
      <alignment horizontal="center" vertical="center" wrapText="1"/>
    </xf>
    <xf numFmtId="167" fontId="6" fillId="12" borderId="72" xfId="3" applyNumberFormat="1" applyFont="1" applyFill="1" applyBorder="1" applyAlignment="1">
      <alignment horizontal="center" vertical="center"/>
    </xf>
    <xf numFmtId="167" fontId="6" fillId="12" borderId="73" xfId="3" applyNumberFormat="1" applyFont="1" applyFill="1" applyBorder="1" applyAlignment="1">
      <alignment horizontal="center" vertical="center"/>
    </xf>
    <xf numFmtId="167" fontId="6" fillId="12" borderId="74" xfId="3" applyNumberFormat="1" applyFont="1" applyFill="1" applyBorder="1" applyAlignment="1">
      <alignment horizontal="center" vertical="center"/>
    </xf>
    <xf numFmtId="0" fontId="6" fillId="12" borderId="20" xfId="0" applyFont="1" applyFill="1" applyBorder="1" applyAlignment="1">
      <alignment horizontal="center" vertical="center"/>
    </xf>
    <xf numFmtId="0" fontId="6" fillId="12" borderId="27" xfId="0" applyFont="1" applyFill="1" applyBorder="1" applyAlignment="1">
      <alignment horizontal="center" vertical="center"/>
    </xf>
    <xf numFmtId="166" fontId="6" fillId="12" borderId="36" xfId="1" applyNumberFormat="1" applyFont="1" applyFill="1" applyBorder="1" applyAlignment="1">
      <alignment horizontal="center" vertical="center"/>
    </xf>
    <xf numFmtId="166" fontId="6" fillId="12" borderId="39" xfId="1" applyNumberFormat="1" applyFont="1" applyFill="1" applyBorder="1" applyAlignment="1">
      <alignment horizontal="center" vertical="center"/>
    </xf>
    <xf numFmtId="166" fontId="6" fillId="12" borderId="37" xfId="1" applyNumberFormat="1" applyFont="1" applyFill="1" applyBorder="1" applyAlignment="1">
      <alignment horizontal="center" vertical="center"/>
    </xf>
    <xf numFmtId="0" fontId="7" fillId="8" borderId="25"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6" fillId="9" borderId="94" xfId="0" applyFont="1" applyFill="1" applyBorder="1" applyAlignment="1">
      <alignment horizontal="center"/>
    </xf>
    <xf numFmtId="0" fontId="6" fillId="9" borderId="95" xfId="0" applyFont="1" applyFill="1" applyBorder="1" applyAlignment="1">
      <alignment horizontal="center"/>
    </xf>
    <xf numFmtId="0" fontId="6" fillId="9" borderId="96" xfId="0" applyFont="1" applyFill="1" applyBorder="1" applyAlignment="1">
      <alignment horizontal="center"/>
    </xf>
    <xf numFmtId="0" fontId="11" fillId="9" borderId="92" xfId="2" applyFont="1" applyFill="1" applyBorder="1" applyAlignment="1">
      <alignment horizontal="center"/>
    </xf>
    <xf numFmtId="0" fontId="11" fillId="9" borderId="1" xfId="2" applyFont="1" applyFill="1" applyBorder="1" applyAlignment="1">
      <alignment horizontal="center"/>
    </xf>
    <xf numFmtId="0" fontId="11" fillId="9" borderId="93" xfId="2" applyFont="1" applyFill="1" applyBorder="1" applyAlignment="1">
      <alignment horizont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0" xfId="0" applyFont="1" applyFill="1" applyBorder="1" applyAlignment="1">
      <alignment horizontal="center" vertical="center"/>
    </xf>
    <xf numFmtId="0" fontId="21" fillId="4" borderId="1" xfId="0" applyFont="1" applyFill="1" applyBorder="1" applyAlignment="1">
      <alignment horizontal="center" vertical="center"/>
    </xf>
    <xf numFmtId="0" fontId="7" fillId="6" borderId="47"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6" fillId="7" borderId="48" xfId="0" applyNumberFormat="1" applyFont="1" applyFill="1" applyBorder="1" applyAlignment="1">
      <alignment horizontal="center" vertical="center"/>
    </xf>
    <xf numFmtId="0" fontId="6" fillId="7" borderId="44" xfId="0" applyNumberFormat="1" applyFont="1" applyFill="1" applyBorder="1" applyAlignment="1">
      <alignment horizontal="center" vertical="center"/>
    </xf>
    <xf numFmtId="0" fontId="13" fillId="13" borderId="10"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7" borderId="4" xfId="0" applyFont="1" applyFill="1" applyBorder="1" applyAlignment="1">
      <alignment horizontal="center" vertical="center"/>
    </xf>
    <xf numFmtId="167" fontId="6" fillId="7" borderId="48" xfId="0" applyNumberFormat="1" applyFont="1" applyFill="1" applyBorder="1" applyAlignment="1">
      <alignment horizontal="center" vertical="center"/>
    </xf>
    <xf numFmtId="167" fontId="6" fillId="7" borderId="13" xfId="0" applyNumberFormat="1" applyFont="1" applyFill="1" applyBorder="1" applyAlignment="1">
      <alignment horizontal="center" vertical="center"/>
    </xf>
    <xf numFmtId="0" fontId="7" fillId="6" borderId="12" xfId="0" applyFont="1" applyFill="1" applyBorder="1" applyAlignment="1">
      <alignment horizontal="center" vertical="center" wrapText="1"/>
    </xf>
    <xf numFmtId="0" fontId="6" fillId="7" borderId="44" xfId="0" applyFont="1" applyFill="1" applyBorder="1" applyAlignment="1">
      <alignment horizontal="center" vertical="center"/>
    </xf>
    <xf numFmtId="0" fontId="6" fillId="9" borderId="78" xfId="0" applyFont="1" applyFill="1" applyBorder="1" applyAlignment="1">
      <alignment horizontal="center"/>
    </xf>
    <xf numFmtId="0" fontId="6" fillId="9" borderId="79" xfId="0" applyFont="1" applyFill="1" applyBorder="1" applyAlignment="1">
      <alignment horizontal="center"/>
    </xf>
    <xf numFmtId="0" fontId="6" fillId="9" borderId="80" xfId="0" applyFont="1" applyFill="1" applyBorder="1" applyAlignment="1">
      <alignment horizontal="center"/>
    </xf>
    <xf numFmtId="173" fontId="6" fillId="11" borderId="0" xfId="0" applyNumberFormat="1" applyFont="1" applyFill="1" applyBorder="1" applyAlignment="1">
      <alignment horizontal="center" vertical="center"/>
    </xf>
    <xf numFmtId="0" fontId="13" fillId="14" borderId="10"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7" fillId="10" borderId="3" xfId="0" applyFont="1" applyFill="1" applyBorder="1" applyAlignment="1">
      <alignment horizontal="center" vertical="center"/>
    </xf>
    <xf numFmtId="0" fontId="7" fillId="10" borderId="1"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7" fillId="10" borderId="10" xfId="0" applyFont="1" applyFill="1" applyBorder="1" applyAlignment="1">
      <alignment horizontal="center" vertical="center"/>
    </xf>
    <xf numFmtId="0" fontId="7" fillId="10" borderId="0" xfId="0" applyFont="1" applyFill="1" applyBorder="1" applyAlignment="1">
      <alignment horizontal="center" vertical="center"/>
    </xf>
    <xf numFmtId="0" fontId="7" fillId="10" borderId="2" xfId="0" applyFont="1" applyFill="1" applyBorder="1" applyAlignment="1">
      <alignment horizontal="center" wrapText="1"/>
    </xf>
    <xf numFmtId="0" fontId="7" fillId="10" borderId="7" xfId="0" applyFont="1" applyFill="1" applyBorder="1" applyAlignment="1">
      <alignment horizontal="center" wrapText="1"/>
    </xf>
    <xf numFmtId="0" fontId="7" fillId="10" borderId="0" xfId="0" applyFont="1" applyFill="1" applyBorder="1" applyAlignment="1">
      <alignment horizontal="center" wrapText="1"/>
    </xf>
    <xf numFmtId="0" fontId="7" fillId="10" borderId="8" xfId="0" applyFont="1" applyFill="1" applyBorder="1" applyAlignment="1">
      <alignment horizontal="center" wrapText="1"/>
    </xf>
    <xf numFmtId="0" fontId="7" fillId="10" borderId="6"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13" fillId="14" borderId="6" xfId="0" applyFont="1" applyFill="1" applyBorder="1" applyAlignment="1">
      <alignment horizontal="center" vertical="center" wrapText="1"/>
    </xf>
    <xf numFmtId="171" fontId="6" fillId="12" borderId="36" xfId="1" applyNumberFormat="1" applyFont="1" applyFill="1" applyBorder="1" applyAlignment="1">
      <alignment horizontal="center" vertical="center"/>
    </xf>
    <xf numFmtId="171" fontId="6" fillId="12" borderId="37" xfId="1" applyNumberFormat="1" applyFont="1" applyFill="1" applyBorder="1" applyAlignment="1">
      <alignment horizontal="center" vertical="center"/>
    </xf>
    <xf numFmtId="0" fontId="4" fillId="0" borderId="0" xfId="2" applyAlignment="1">
      <alignment horizontal="left"/>
    </xf>
    <xf numFmtId="0" fontId="0" fillId="0" borderId="0" xfId="0" applyFont="1" applyAlignment="1">
      <alignment horizontal="left"/>
    </xf>
    <xf numFmtId="0" fontId="5" fillId="0" borderId="0" xfId="0" applyFont="1" applyFill="1" applyAlignment="1">
      <alignment horizontal="center"/>
    </xf>
    <xf numFmtId="0" fontId="25" fillId="0" borderId="0" xfId="0" applyFont="1" applyAlignment="1">
      <alignment horizontal="center"/>
    </xf>
    <xf numFmtId="0" fontId="0" fillId="0" borderId="0" xfId="0" applyFont="1" applyAlignment="1">
      <alignment horizontal="left" vertical="center"/>
    </xf>
    <xf numFmtId="0" fontId="4" fillId="0" borderId="0" xfId="2" applyAlignment="1">
      <alignment horizontal="left" vertical="center"/>
    </xf>
    <xf numFmtId="0" fontId="11" fillId="9" borderId="71" xfId="2" applyFont="1" applyFill="1" applyBorder="1" applyAlignment="1">
      <alignment horizontal="center"/>
    </xf>
    <xf numFmtId="0" fontId="6" fillId="9" borderId="31" xfId="0" applyFont="1" applyFill="1" applyBorder="1" applyAlignment="1">
      <alignment horizontal="center"/>
    </xf>
    <xf numFmtId="166" fontId="6" fillId="11" borderId="0" xfId="3" applyNumberFormat="1" applyFont="1" applyFill="1" applyBorder="1" applyAlignment="1">
      <alignment horizontal="center" vertical="center"/>
    </xf>
    <xf numFmtId="0" fontId="39" fillId="19" borderId="100" xfId="0" applyNumberFormat="1" applyFont="1" applyFill="1" applyBorder="1" applyAlignment="1">
      <alignment horizontal="center" vertical="center"/>
    </xf>
    <xf numFmtId="0" fontId="39" fillId="19" borderId="101" xfId="0" applyNumberFormat="1" applyFont="1" applyFill="1" applyBorder="1" applyAlignment="1">
      <alignment horizontal="center" vertical="center"/>
    </xf>
    <xf numFmtId="0" fontId="39" fillId="19" borderId="4" xfId="0" applyFont="1" applyFill="1" applyBorder="1" applyAlignment="1">
      <alignment horizontal="center" vertical="center"/>
    </xf>
    <xf numFmtId="0" fontId="39" fillId="19" borderId="101" xfId="0" applyFont="1" applyFill="1" applyBorder="1" applyAlignment="1">
      <alignment horizontal="center" vertical="center"/>
    </xf>
  </cellXfs>
  <cellStyles count="12">
    <cellStyle name="Currency" xfId="1" builtinId="4"/>
    <cellStyle name="Excel Built-in Normal" xfId="4"/>
    <cellStyle name="Followed Hyperlink" xfId="5" builtinId="9" hidden="1"/>
    <cellStyle name="Followed Hyperlink" xfId="10" builtinId="9" hidden="1"/>
    <cellStyle name="Followed Hyperlink" xfId="11" builtinId="9" hidden="1"/>
    <cellStyle name="Hyperlink" xfId="2" builtinId="8"/>
    <cellStyle name="Hyperlink 48" xfId="7"/>
    <cellStyle name="Normal" xfId="0" builtinId="0"/>
    <cellStyle name="Normal 2" xfId="8"/>
    <cellStyle name="Normal 3" xfId="6"/>
    <cellStyle name="Percent" xfId="3"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drawing1.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5166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5166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5166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1130300" y="3616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5166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5166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5166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71500" y="5306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5166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4" Type="http://schemas.openxmlformats.org/officeDocument/2006/relationships/comments" Target="../comments7.xml"/><Relationship Id="rId1" Type="http://schemas.openxmlformats.org/officeDocument/2006/relationships/hyperlink" Target="http://www.givewell.org/node/2202" TargetMode="External"/><Relationship Id="rId2"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8.vml"/><Relationship Id="rId3"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4" Type="http://schemas.openxmlformats.org/officeDocument/2006/relationships/comments" Target="../comments9.xml"/><Relationship Id="rId1" Type="http://schemas.openxmlformats.org/officeDocument/2006/relationships/hyperlink" Target="http://www.givewell.org/node/2202" TargetMode="External"/><Relationship Id="rId2"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4" Type="http://schemas.openxmlformats.org/officeDocument/2006/relationships/comments" Target="../comments10.xml"/><Relationship Id="rId1" Type="http://schemas.openxmlformats.org/officeDocument/2006/relationships/hyperlink" Target="http://www.givewell.org/node/2202" TargetMode="External"/><Relationship Id="rId2"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1" Type="http://schemas.openxmlformats.org/officeDocument/2006/relationships/hyperlink" Target="http://www.givewell.org/international/technical/programs/cash-transfers/" TargetMode="External"/><Relationship Id="rId12" Type="http://schemas.openxmlformats.org/officeDocument/2006/relationships/hyperlink" Target="http://www.givewell.org/content/working-review-deworm-world-initiative" TargetMode="External"/><Relationship Id="rId13" Type="http://schemas.openxmlformats.org/officeDocument/2006/relationships/hyperlink" Target="http://www.givewell.org/node/2365" TargetMode="External"/><Relationship Id="rId14" Type="http://schemas.openxmlformats.org/officeDocument/2006/relationships/hyperlink" Target="http://www.givewell.org/content/working-review-deworm-world-initiative" TargetMode="External"/><Relationship Id="rId15" Type="http://schemas.openxmlformats.org/officeDocument/2006/relationships/hyperlink" Target="http://www.givewell.org/node/2365" TargetMode="External"/><Relationship Id="rId16" Type="http://schemas.openxmlformats.org/officeDocument/2006/relationships/hyperlink" Target="http://www.givewell.org/node/2369" TargetMode="External"/><Relationship Id="rId1" Type="http://schemas.openxmlformats.org/officeDocument/2006/relationships/hyperlink" Target="http://www.givewell.org/international/technical/programs/deworming/reanalysis" TargetMode="External"/><Relationship Id="rId2" Type="http://schemas.openxmlformats.org/officeDocument/2006/relationships/hyperlink" Target="http://www.givewell.org/international/technical/programs/deworming/reanalysis" TargetMode="External"/><Relationship Id="rId3" Type="http://schemas.openxmlformats.org/officeDocument/2006/relationships/hyperlink" Target="http://www.plosmedicine.org/article/info:doi/10.1371/journal.pmed.0020124" TargetMode="External"/><Relationship Id="rId4" Type="http://schemas.openxmlformats.org/officeDocument/2006/relationships/hyperlink" Target="http://www.givewell.org/international/technical/programs/cash-transfers" TargetMode="External"/><Relationship Id="rId5" Type="http://schemas.openxmlformats.org/officeDocument/2006/relationships/hyperlink" Target="http://www.givewell.org/node/2218" TargetMode="External"/><Relationship Id="rId6" Type="http://schemas.openxmlformats.org/officeDocument/2006/relationships/hyperlink" Target="http://www.givewell.org/international/top-charities/give-directly" TargetMode="External"/><Relationship Id="rId7" Type="http://schemas.openxmlformats.org/officeDocument/2006/relationships/hyperlink" Target="http://blog.givewell.org/2013/01/23/guest-post-from-david-barry-about-deworming-cost-effectiveness/" TargetMode="External"/><Relationship Id="rId8" Type="http://schemas.openxmlformats.org/officeDocument/2006/relationships/hyperlink" Target="http://www.plosmedicine.org/article/info:doi/10.1371/journal.pmed.0020124" TargetMode="External"/><Relationship Id="rId9" Type="http://schemas.openxmlformats.org/officeDocument/2006/relationships/hyperlink" Target="http://web.mit.edu/joha/www/publications/Haushofer_Shapiro_Policy_Brief_UCT_2013.10.22.pdf" TargetMode="External"/><Relationship Id="rId10" Type="http://schemas.openxmlformats.org/officeDocument/2006/relationships/hyperlink" Target="http://web.mit.edu/joha/www/publications/Haushofer_Shapiro_UCT_Online_Appendix_2013.11.15.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plosmedicine.org/article/info:doi/10.1371/journal.pmed.0020124" TargetMode="External"/><Relationship Id="rId4" Type="http://schemas.openxmlformats.org/officeDocument/2006/relationships/hyperlink" Target="http://www.givewell.org/files/DWDA%202009/Interventions/Deworming/Cost-effectiveness%20for%20deworming.xls" TargetMode="External"/><Relationship Id="rId5" Type="http://schemas.openxmlformats.org/officeDocument/2006/relationships/hyperlink" Target="http://www.givewell.org/files/DWDA%202009/Interventions/Global%20Burden%20of%20Disease%20and%20Risk%20Factors.pdf" TargetMode="External"/><Relationship Id="rId6" Type="http://schemas.openxmlformats.org/officeDocument/2006/relationships/hyperlink" Target="http://www.givewell.org/files/DWDA%202009/Interventions/Nets/Cost-effectiveness%20analysis%20for%20LLIN%20distribution%20updated%20for%202013.xls" TargetMode="External"/><Relationship Id="rId7" Type="http://schemas.openxmlformats.org/officeDocument/2006/relationships/hyperlink" Target="http://www.givewell.org/files/DWDA%202009/Interventions/Nets/GiveWell%20net%20cost%20estimates%202013.xls" TargetMode="External"/><Relationship Id="rId8" Type="http://schemas.openxmlformats.org/officeDocument/2006/relationships/hyperlink" Target="http://blog.givewell.org/2014/10/03/a-promising-study-on-the-long-term-effects-of-deworming/" TargetMode="External"/><Relationship Id="rId9" Type="http://schemas.openxmlformats.org/officeDocument/2006/relationships/hyperlink" Target="http://www.givewell.org/files/DWDA%202009/SCI/SCI%20treatment%20numbers%20(October%202014).xlsx" TargetMode="External"/><Relationship Id="rId1" Type="http://schemas.openxmlformats.org/officeDocument/2006/relationships/hyperlink" Target="http://www.givewell.org/files/DWDA%202009/Interventions/Deworming/MK%20Reanalysis/KLPS-Labor_2012-08-05.pdf" TargetMode="External"/><Relationship Id="rId2" Type="http://schemas.openxmlformats.org/officeDocument/2006/relationships/hyperlink" Target="http://www.givewell.org/files/DWDA%202009/Interventions/Deworming/Miguel%20Kremer%20Worms%20-%20Identifying%20Impacts%20on%20Education%20and%20Health%20in%20the%20Presence%20of%20Treatment%20Externaliti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omments" Target="../comments2.xml"/><Relationship Id="rId1" Type="http://schemas.openxmlformats.org/officeDocument/2006/relationships/hyperlink" Target="http://www.givewell.org/node/2202" TargetMode="External"/><Relationship Id="rId2"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4" Type="http://schemas.openxmlformats.org/officeDocument/2006/relationships/comments" Target="../comments3.xml"/><Relationship Id="rId1" Type="http://schemas.openxmlformats.org/officeDocument/2006/relationships/hyperlink" Target="http://www.givewell.org/node/2202" TargetMode="External"/><Relationship Id="rId2"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4" Type="http://schemas.openxmlformats.org/officeDocument/2006/relationships/comments" Target="../comments4.xml"/><Relationship Id="rId1" Type="http://schemas.openxmlformats.org/officeDocument/2006/relationships/hyperlink" Target="http://www.givewell.org/node/2202" TargetMode="External"/><Relationship Id="rId2"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4" Type="http://schemas.openxmlformats.org/officeDocument/2006/relationships/comments" Target="../comments5.xml"/><Relationship Id="rId1" Type="http://schemas.openxmlformats.org/officeDocument/2006/relationships/hyperlink" Target="http://www.givewell.org/node/2202" TargetMode="External"/><Relationship Id="rId2"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4" Type="http://schemas.openxmlformats.org/officeDocument/2006/relationships/comments" Target="../comments6.xml"/><Relationship Id="rId1" Type="http://schemas.openxmlformats.org/officeDocument/2006/relationships/hyperlink" Target="http://www.givewell.org/node/2202" TargetMode="External"/><Relationship Id="rId2"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0"/>
  <sheetViews>
    <sheetView workbookViewId="0">
      <selection activeCell="B2" sqref="B2"/>
    </sheetView>
  </sheetViews>
  <sheetFormatPr baseColWidth="10" defaultColWidth="8.83203125" defaultRowHeight="14" x14ac:dyDescent="0"/>
  <cols>
    <col min="1" max="1" width="1.1640625" customWidth="1"/>
    <col min="2" max="2" width="28.6640625" bestFit="1" customWidth="1"/>
    <col min="3" max="3" width="7" bestFit="1" customWidth="1"/>
    <col min="4" max="4" width="7.33203125" customWidth="1"/>
    <col min="5" max="5" width="7" bestFit="1" customWidth="1"/>
    <col min="6" max="6" width="11" customWidth="1"/>
    <col min="7" max="7" width="13" customWidth="1"/>
    <col min="8" max="8" width="6.83203125" customWidth="1"/>
    <col min="9" max="9" width="7.6640625" customWidth="1"/>
    <col min="10" max="10" width="7.5" customWidth="1"/>
    <col min="11" max="11" width="11" bestFit="1" customWidth="1"/>
    <col min="12" max="12" width="12.1640625" customWidth="1"/>
    <col min="13" max="13" width="11" bestFit="1" customWidth="1"/>
    <col min="14" max="14" width="10" bestFit="1" customWidth="1"/>
    <col min="15" max="15" width="12.33203125" customWidth="1"/>
    <col min="16" max="16" width="13.33203125" customWidth="1"/>
    <col min="17" max="17" width="15.1640625" customWidth="1"/>
    <col min="18" max="18" width="13" customWidth="1"/>
    <col min="19" max="19" width="12.5" bestFit="1" customWidth="1"/>
  </cols>
  <sheetData>
    <row r="1" spans="2:19">
      <c r="I1" s="108"/>
      <c r="J1" s="108"/>
    </row>
    <row r="2" spans="2:19" ht="14.5" customHeight="1">
      <c r="C2" s="293" t="s">
        <v>34</v>
      </c>
      <c r="D2" s="286"/>
      <c r="E2" s="286"/>
      <c r="F2" s="286"/>
      <c r="G2" s="286" t="s">
        <v>48</v>
      </c>
      <c r="H2" s="286" t="s">
        <v>191</v>
      </c>
      <c r="I2" s="286"/>
      <c r="J2" s="286"/>
      <c r="K2" s="289" t="s">
        <v>184</v>
      </c>
      <c r="L2" s="290"/>
      <c r="M2" s="290"/>
      <c r="N2" s="290" t="s">
        <v>289</v>
      </c>
      <c r="O2" s="290" t="s">
        <v>288</v>
      </c>
      <c r="P2" s="290"/>
      <c r="Q2" s="295"/>
    </row>
    <row r="3" spans="2:19" ht="24.5" customHeight="1">
      <c r="C3" s="294"/>
      <c r="D3" s="287"/>
      <c r="E3" s="287"/>
      <c r="F3" s="287"/>
      <c r="G3" s="287"/>
      <c r="H3" s="287"/>
      <c r="I3" s="287"/>
      <c r="J3" s="287"/>
      <c r="K3" s="291"/>
      <c r="L3" s="292"/>
      <c r="M3" s="292"/>
      <c r="N3" s="292"/>
      <c r="O3" s="292"/>
      <c r="P3" s="292"/>
      <c r="Q3" s="296"/>
    </row>
    <row r="4" spans="2:19">
      <c r="B4" s="110" t="s">
        <v>170</v>
      </c>
      <c r="C4" s="217" t="s">
        <v>33</v>
      </c>
      <c r="D4" s="218" t="s">
        <v>32</v>
      </c>
      <c r="E4" s="218" t="s">
        <v>210</v>
      </c>
      <c r="F4" s="218" t="s">
        <v>14</v>
      </c>
      <c r="G4" s="288"/>
      <c r="H4" s="218" t="s">
        <v>33</v>
      </c>
      <c r="I4" s="218" t="s">
        <v>32</v>
      </c>
      <c r="J4" s="218" t="s">
        <v>210</v>
      </c>
      <c r="K4" s="219" t="s">
        <v>33</v>
      </c>
      <c r="L4" s="220" t="s">
        <v>32</v>
      </c>
      <c r="M4" s="220" t="s">
        <v>210</v>
      </c>
      <c r="N4" s="297"/>
      <c r="O4" s="220" t="s">
        <v>33</v>
      </c>
      <c r="P4" s="220" t="s">
        <v>32</v>
      </c>
      <c r="Q4" s="221" t="s">
        <v>210</v>
      </c>
    </row>
    <row r="5" spans="2:19" hidden="1">
      <c r="C5" s="109" t="s">
        <v>171</v>
      </c>
      <c r="D5" s="109" t="s">
        <v>187</v>
      </c>
      <c r="E5" s="109" t="s">
        <v>188</v>
      </c>
      <c r="F5" s="109" t="s">
        <v>189</v>
      </c>
      <c r="G5" s="109" t="s">
        <v>269</v>
      </c>
      <c r="H5" s="109" t="s">
        <v>190</v>
      </c>
      <c r="I5" s="109" t="s">
        <v>270</v>
      </c>
      <c r="J5" s="109" t="s">
        <v>271</v>
      </c>
      <c r="K5" s="109" t="s">
        <v>272</v>
      </c>
      <c r="L5" s="109" t="s">
        <v>273</v>
      </c>
      <c r="M5" s="109" t="s">
        <v>274</v>
      </c>
      <c r="N5" s="109" t="s">
        <v>290</v>
      </c>
      <c r="O5" s="109" t="s">
        <v>291</v>
      </c>
      <c r="P5" s="109" t="s">
        <v>292</v>
      </c>
      <c r="Q5" s="109" t="s">
        <v>293</v>
      </c>
    </row>
    <row r="6" spans="2:19">
      <c r="B6" t="s">
        <v>278</v>
      </c>
      <c r="C6" s="155">
        <f ca="1">IFERROR(INDIRECT("'"&amp;$B6&amp;"'!"&amp;C$5),"")</f>
        <v>0.41067296816671522</v>
      </c>
      <c r="D6" s="155">
        <f t="shared" ref="D6:Q11" ca="1" si="0">IFERROR(INDIRECT("'"&amp;$B6&amp;"'!"&amp;D$5),"")</f>
        <v>6.6419759778007584E-2</v>
      </c>
      <c r="E6" s="155">
        <f t="shared" ca="1" si="0"/>
        <v>8.4574791987314712E-2</v>
      </c>
      <c r="F6" s="155">
        <f t="shared" ca="1" si="0"/>
        <v>2.5865450862179438E-3</v>
      </c>
      <c r="G6" s="156">
        <f t="shared" ca="1" si="0"/>
        <v>0.73954497105143457</v>
      </c>
      <c r="H6" s="157">
        <f t="shared" ca="1" si="0"/>
        <v>158.77278550253413</v>
      </c>
      <c r="I6" s="157">
        <f t="shared" ca="1" si="0"/>
        <v>25.678949163467632</v>
      </c>
      <c r="J6" s="157">
        <f t="shared" ca="1" si="0"/>
        <v>32.69797709615041</v>
      </c>
      <c r="K6" s="156">
        <f t="shared" ca="1" si="0"/>
        <v>70.246703221845237</v>
      </c>
      <c r="L6" s="156">
        <f t="shared" ca="1" si="0"/>
        <v>435.75011799866786</v>
      </c>
      <c r="M6" s="156">
        <f t="shared" ca="1" si="0"/>
        <v>330.87964497477253</v>
      </c>
      <c r="N6" s="156">
        <f t="shared" ca="1" si="0"/>
        <v>3337.06</v>
      </c>
      <c r="O6" s="157">
        <f t="shared" ca="1" si="0"/>
        <v>1326.2961626442557</v>
      </c>
      <c r="P6" s="157">
        <f t="shared" ca="1" si="0"/>
        <v>177.50255105863516</v>
      </c>
      <c r="Q6" s="157">
        <f t="shared" ca="1" si="0"/>
        <v>238.08698284302562</v>
      </c>
      <c r="R6" s="85"/>
      <c r="S6" s="85"/>
    </row>
    <row r="7" spans="2:19">
      <c r="B7" t="s">
        <v>279</v>
      </c>
      <c r="C7" s="155">
        <f ca="1">IFERROR(INDIRECT("'"&amp;$B7&amp;"'!"&amp;C$5),"")</f>
        <v>3.5261109100963496E-4</v>
      </c>
      <c r="D7" s="155">
        <f t="shared" ref="D7:Q23" ca="1" si="1">IFERROR(INDIRECT("'"&amp;$B7&amp;"'!"&amp;D$5),"")</f>
        <v>3.5399454956072597E-4</v>
      </c>
      <c r="E7" s="155">
        <f t="shared" ca="1" si="1"/>
        <v>3.5537942669433445E-4</v>
      </c>
      <c r="F7" s="155">
        <f t="shared" ca="1" si="1"/>
        <v>2.5865450862179438E-3</v>
      </c>
      <c r="G7" s="156">
        <f t="shared" ca="1" si="1"/>
        <v>0.73954497105143457</v>
      </c>
      <c r="H7" s="157">
        <f t="shared" ca="1" si="1"/>
        <v>0.13632512840718514</v>
      </c>
      <c r="I7" s="157">
        <f t="shared" ca="1" si="1"/>
        <v>0.13685999577078248</v>
      </c>
      <c r="J7" s="157">
        <f t="shared" ca="1" si="1"/>
        <v>0.13739541158123464</v>
      </c>
      <c r="K7" s="156">
        <f t="shared" ca="1" si="1"/>
        <v>148807.39310080654</v>
      </c>
      <c r="L7" s="156">
        <f t="shared" ca="1" si="1"/>
        <v>148225.83369344746</v>
      </c>
      <c r="M7" s="156">
        <f t="shared" ca="1" si="1"/>
        <v>147648.21284014842</v>
      </c>
      <c r="N7" s="156">
        <f t="shared" ca="1" si="1"/>
        <v>3337.06</v>
      </c>
      <c r="O7" s="157">
        <f t="shared" ca="1" si="1"/>
        <v>-2.2875388333664657</v>
      </c>
      <c r="P7" s="157">
        <f t="shared" ca="1" si="1"/>
        <v>-2.2829221491739617</v>
      </c>
      <c r="Q7" s="157">
        <f t="shared" ca="1" si="1"/>
        <v>-2.2783007310864822</v>
      </c>
      <c r="R7" s="85"/>
      <c r="S7" s="85"/>
    </row>
    <row r="8" spans="2:19">
      <c r="B8" s="59" t="s">
        <v>315</v>
      </c>
      <c r="C8" s="155">
        <f ca="1">IFERROR(INDIRECT("'"&amp;$B8&amp;"'!"&amp;C$5),"")</f>
        <v>2.4716111916986996E-2</v>
      </c>
      <c r="D8" s="155">
        <f t="shared" ref="D8:Q8" ca="1" si="2">IFERROR(INDIRECT("'"&amp;$B8&amp;"'!"&amp;D$5),"")</f>
        <v>2.381169645376582E-2</v>
      </c>
      <c r="E8" s="155">
        <f t="shared" ca="1" si="2"/>
        <v>1.0872016364700218E-2</v>
      </c>
      <c r="F8" s="155">
        <f t="shared" ca="1" si="2"/>
        <v>2.4793476803162649E-3</v>
      </c>
      <c r="G8" s="156">
        <f t="shared" ca="1" si="2"/>
        <v>0.70889508875602647</v>
      </c>
      <c r="H8" s="157">
        <f t="shared" ca="1" si="2"/>
        <v>9.9687962737982012</v>
      </c>
      <c r="I8" s="157">
        <f t="shared" ca="1" si="2"/>
        <v>9.6040166705173053</v>
      </c>
      <c r="J8" s="157">
        <f t="shared" ca="1" si="2"/>
        <v>4.3850309704500123</v>
      </c>
      <c r="K8" s="156">
        <f t="shared" ca="1" si="2"/>
        <v>2905.519550246127</v>
      </c>
      <c r="L8" s="156">
        <f t="shared" ca="1" si="2"/>
        <v>3048.796626652244</v>
      </c>
      <c r="M8" s="156">
        <f t="shared" ca="1" si="2"/>
        <v>6369.4331657643725</v>
      </c>
      <c r="N8" s="156">
        <f t="shared" ca="1" si="2"/>
        <v>3337.06</v>
      </c>
      <c r="O8" s="157">
        <f t="shared" ca="1" si="2"/>
        <v>57.691764551561747</v>
      </c>
      <c r="P8" s="157">
        <f t="shared" ca="1" si="2"/>
        <v>54.673675885864881</v>
      </c>
      <c r="Q8" s="157">
        <f t="shared" ca="1" si="2"/>
        <v>11.493187047847623</v>
      </c>
      <c r="R8" s="85"/>
      <c r="S8" s="85"/>
    </row>
    <row r="9" spans="2:19">
      <c r="B9" s="59" t="s">
        <v>314</v>
      </c>
      <c r="C9" s="155">
        <f t="shared" ref="C9:C11" ca="1" si="3">IFERROR(INDIRECT("'"&amp;$B9&amp;"'!"&amp;C$5),"")</f>
        <v>6.8659035657023582E-2</v>
      </c>
      <c r="D9" s="155">
        <f t="shared" ca="1" si="0"/>
        <v>2.5279268552441201E-2</v>
      </c>
      <c r="E9" s="155">
        <f t="shared" ca="1" si="0"/>
        <v>1.5948389346179342E-2</v>
      </c>
      <c r="F9" s="155">
        <f t="shared" ca="1" si="0"/>
        <v>3.3315297167262415E-3</v>
      </c>
      <c r="G9" s="156">
        <f t="shared" ca="1" si="0"/>
        <v>0.95255097660636701</v>
      </c>
      <c r="H9" s="157">
        <f t="shared" ca="1" si="0"/>
        <v>20.608861842748929</v>
      </c>
      <c r="I9" s="157">
        <f t="shared" ca="1" si="0"/>
        <v>7.5878862570321326</v>
      </c>
      <c r="J9" s="157">
        <f t="shared" ca="1" si="0"/>
        <v>4.7871070355785914</v>
      </c>
      <c r="K9" s="156">
        <f t="shared" ca="1" si="0"/>
        <v>1624.7504288534722</v>
      </c>
      <c r="L9" s="156">
        <f t="shared" ca="1" si="0"/>
        <v>4588.5336626378439</v>
      </c>
      <c r="M9" s="156">
        <f t="shared" ca="1" si="0"/>
        <v>7311.1032664880295</v>
      </c>
      <c r="N9" s="156">
        <f t="shared" ca="1" si="1"/>
        <v>3337.06</v>
      </c>
      <c r="O9" s="157">
        <f t="shared" ca="1" si="1"/>
        <v>195.72985002123798</v>
      </c>
      <c r="P9" s="157">
        <f t="shared" ca="1" si="1"/>
        <v>50.968964407220298</v>
      </c>
      <c r="Q9" s="157">
        <f t="shared" ca="1" si="1"/>
        <v>19.831260643172101</v>
      </c>
      <c r="S9" s="85"/>
    </row>
    <row r="10" spans="2:19">
      <c r="B10" s="59" t="s">
        <v>337</v>
      </c>
      <c r="C10" s="155">
        <f t="shared" ca="1" si="3"/>
        <v>5.99652883277174E-2</v>
      </c>
      <c r="D10" s="155">
        <f t="shared" ca="1" si="0"/>
        <v>6.9135556824615224E-2</v>
      </c>
      <c r="E10" s="155">
        <f t="shared" ca="1" si="0"/>
        <v>2.2653962139459295E-2</v>
      </c>
      <c r="F10" s="155">
        <f t="shared" ca="1" si="0"/>
        <v>3.0894462425004598E-3</v>
      </c>
      <c r="G10" s="156">
        <f t="shared" ca="1" si="0"/>
        <v>0.88333446965573148</v>
      </c>
      <c r="H10" s="157">
        <f t="shared" ca="1" si="0"/>
        <v>19.409720584483832</v>
      </c>
      <c r="I10" s="157">
        <f t="shared" ca="1" si="0"/>
        <v>22.377976957016088</v>
      </c>
      <c r="J10" s="157">
        <f t="shared" ca="1" si="0"/>
        <v>7.3326934218231257</v>
      </c>
      <c r="K10" s="156">
        <f t="shared" ca="1" si="0"/>
        <v>1937.0130334974185</v>
      </c>
      <c r="L10" s="156">
        <f t="shared" ca="1" si="0"/>
        <v>1677.5594041335144</v>
      </c>
      <c r="M10" s="156">
        <f t="shared" ca="1" si="0"/>
        <v>5147.0166996075732</v>
      </c>
      <c r="N10" s="156">
        <f t="shared" ca="1" si="1"/>
        <v>3392.5402486858193</v>
      </c>
      <c r="O10" s="157">
        <f t="shared" ca="1" si="1"/>
        <v>161.6699435053882</v>
      </c>
      <c r="P10" s="157">
        <f t="shared" ca="1" si="1"/>
        <v>192.7804484723697</v>
      </c>
      <c r="Q10" s="157">
        <f t="shared" ca="1" si="1"/>
        <v>35.089767679877333</v>
      </c>
      <c r="S10" s="85"/>
    </row>
    <row r="11" spans="2:19">
      <c r="B11" s="59" t="s">
        <v>294</v>
      </c>
      <c r="C11" s="155">
        <f t="shared" ca="1" si="3"/>
        <v>5.3519973052377379E-2</v>
      </c>
      <c r="D11" s="155">
        <f t="shared" ca="1" si="0"/>
        <v>2.3888131135249915E-2</v>
      </c>
      <c r="E11" s="155">
        <f t="shared" ca="1" si="0"/>
        <v>1.3893425388310343E-2</v>
      </c>
      <c r="F11" s="155">
        <f t="shared" ca="1" si="0"/>
        <v>2.5865450862179438E-3</v>
      </c>
      <c r="G11" s="156">
        <f t="shared" ca="1" si="0"/>
        <v>0.73954497105143457</v>
      </c>
      <c r="H11" s="157">
        <f t="shared" ca="1" si="0"/>
        <v>20.69168379764626</v>
      </c>
      <c r="I11" s="157">
        <f t="shared" ca="1" si="0"/>
        <v>9.2355363386219693</v>
      </c>
      <c r="J11" s="157">
        <f t="shared" ca="1" si="0"/>
        <v>5.3714220804963286</v>
      </c>
      <c r="K11" s="156">
        <f t="shared" ca="1" si="0"/>
        <v>1771.5368767730804</v>
      </c>
      <c r="L11" s="156">
        <f t="shared" ca="1" si="0"/>
        <v>4065.1740995776868</v>
      </c>
      <c r="M11" s="156">
        <f t="shared" ca="1" si="0"/>
        <v>6893.3259369744283</v>
      </c>
      <c r="N11" s="156">
        <f t="shared" ca="1" si="1"/>
        <v>3337.06</v>
      </c>
      <c r="O11" s="157">
        <f t="shared" ca="1" si="1"/>
        <v>148.0061148243135</v>
      </c>
      <c r="P11" s="157">
        <f t="shared" ca="1" si="1"/>
        <v>49.122880436344133</v>
      </c>
      <c r="Q11" s="157">
        <f t="shared" ca="1" si="1"/>
        <v>15.769947676461957</v>
      </c>
    </row>
    <row r="12" spans="2:19">
      <c r="B12" s="59" t="s">
        <v>338</v>
      </c>
      <c r="C12" s="155">
        <f t="shared" ref="C12:Q12" ca="1" si="4">IFERROR(INDIRECT("'"&amp;$B12&amp;"'!"&amp;C$5),"")</f>
        <v>2.8746361435936486E-2</v>
      </c>
      <c r="D12" s="155">
        <f t="shared" ca="1" si="4"/>
        <v>9.5207225903379111E-3</v>
      </c>
      <c r="E12" s="155">
        <f t="shared" ca="1" si="4"/>
        <v>1.0233996379782173E-2</v>
      </c>
      <c r="F12" s="155">
        <f t="shared" ca="1" si="4"/>
        <v>3.088476870773496E-3</v>
      </c>
      <c r="G12" s="156">
        <f t="shared" ca="1" si="4"/>
        <v>0.88305730689155804</v>
      </c>
      <c r="H12" s="157">
        <f t="shared" ca="1" si="4"/>
        <v>9.3076175211042074</v>
      </c>
      <c r="I12" s="157">
        <f t="shared" ca="1" si="4"/>
        <v>3.0826595078089372</v>
      </c>
      <c r="J12" s="157">
        <f t="shared" ca="1" si="4"/>
        <v>3.3136062881439394</v>
      </c>
      <c r="K12" s="156">
        <f t="shared" ca="1" si="4"/>
        <v>885.22616107220426</v>
      </c>
      <c r="L12" s="156">
        <f t="shared" ca="1" si="4"/>
        <v>2699.9734572333887</v>
      </c>
      <c r="M12" s="156">
        <f t="shared" ca="1" si="4"/>
        <v>2245.9709234651236</v>
      </c>
      <c r="N12" s="156">
        <f t="shared" ca="1" si="4"/>
        <v>3337.06</v>
      </c>
      <c r="O12" s="157">
        <f t="shared" ca="1" si="4"/>
        <v>82.218026151064691</v>
      </c>
      <c r="P12" s="157">
        <f t="shared" ca="1" si="4"/>
        <v>18.060915784971513</v>
      </c>
      <c r="Q12" s="157">
        <f t="shared" ca="1" si="4"/>
        <v>20.441153216774381</v>
      </c>
    </row>
    <row r="13" spans="2:19">
      <c r="B13" s="59" t="s">
        <v>321</v>
      </c>
      <c r="C13" s="155" t="str">
        <f t="shared" ref="C13:Q28" ca="1" si="5">IFERROR(INDIRECT("'"&amp;$B13&amp;"'!"&amp;C$5),"")</f>
        <v/>
      </c>
      <c r="D13" s="155" t="str">
        <f t="shared" ca="1" si="5"/>
        <v/>
      </c>
      <c r="E13" s="155">
        <f t="shared" ca="1" si="5"/>
        <v>2.4026929541850765E-2</v>
      </c>
      <c r="F13" s="155" t="str">
        <f t="shared" ca="1" si="5"/>
        <v/>
      </c>
      <c r="G13" s="156" t="str">
        <f t="shared" ca="1" si="5"/>
        <v/>
      </c>
      <c r="H13" s="157" t="str">
        <f t="shared" ca="1" si="5"/>
        <v/>
      </c>
      <c r="I13" s="157" t="str">
        <f t="shared" ca="1" si="5"/>
        <v/>
      </c>
      <c r="J13" s="157" t="str">
        <f t="shared" ca="1" si="5"/>
        <v/>
      </c>
      <c r="K13" s="156" t="str">
        <f t="shared" ca="1" si="5"/>
        <v/>
      </c>
      <c r="L13" s="156" t="str">
        <f t="shared" ca="1" si="5"/>
        <v/>
      </c>
      <c r="M13" s="156">
        <f t="shared" ca="1" si="5"/>
        <v>1164.6963503111999</v>
      </c>
      <c r="N13" s="156">
        <f t="shared" ca="1" si="1"/>
        <v>3337.06</v>
      </c>
      <c r="O13" s="157" t="str">
        <f t="shared" ca="1" si="1"/>
        <v/>
      </c>
      <c r="P13" s="157" t="str">
        <f t="shared" ca="1" si="1"/>
        <v/>
      </c>
      <c r="Q13" s="157">
        <f t="shared" ca="1" si="1"/>
        <v>80.179305496928507</v>
      </c>
    </row>
    <row r="14" spans="2:19">
      <c r="B14" s="152" t="s">
        <v>339</v>
      </c>
      <c r="C14" s="155">
        <f t="shared" ca="1" si="5"/>
        <v>1.9711682351504927E-2</v>
      </c>
      <c r="D14" s="155">
        <f t="shared" ca="1" si="5"/>
        <v>6.8594478764378219E-3</v>
      </c>
      <c r="E14" s="155">
        <f t="shared" ca="1" si="5"/>
        <v>7.409826873765517E-3</v>
      </c>
      <c r="F14" s="155">
        <f t="shared" ca="1" si="5"/>
        <v>3.7647479452735944E-3</v>
      </c>
      <c r="G14" s="156">
        <f t="shared" ca="1" si="5"/>
        <v>1.0764167325126262</v>
      </c>
      <c r="H14" s="157">
        <f t="shared" ca="1" si="5"/>
        <v>5.2358571245790069</v>
      </c>
      <c r="I14" s="157">
        <f t="shared" ca="1" si="5"/>
        <v>1.8220204848107906</v>
      </c>
      <c r="J14" s="157">
        <f t="shared" ca="1" si="5"/>
        <v>1.9682132725693073</v>
      </c>
      <c r="K14" s="156">
        <f t="shared" ca="1" si="5"/>
        <v>754.59467903302857</v>
      </c>
      <c r="L14" s="156">
        <f t="shared" ca="1" si="5"/>
        <v>2177.6293831070925</v>
      </c>
      <c r="M14" s="156">
        <f t="shared" ca="1" si="5"/>
        <v>2067.9977810923283</v>
      </c>
      <c r="N14" s="156">
        <f t="shared" ca="1" si="1"/>
        <v>3337.06</v>
      </c>
      <c r="O14" s="157">
        <f t="shared" ca="1" si="1"/>
        <v>48.775515498444577</v>
      </c>
      <c r="P14" s="157">
        <f t="shared" ca="1" si="1"/>
        <v>5.8868379210771415</v>
      </c>
      <c r="Q14" s="157">
        <f t="shared" ca="1" si="1"/>
        <v>7.7234856578995021</v>
      </c>
    </row>
    <row r="15" spans="2:19">
      <c r="B15" s="152" t="s">
        <v>275</v>
      </c>
      <c r="C15" s="155" t="str">
        <f t="shared" ca="1" si="5"/>
        <v/>
      </c>
      <c r="D15" s="155" t="str">
        <f t="shared" ca="1" si="5"/>
        <v/>
      </c>
      <c r="E15" s="155" t="str">
        <f t="shared" ca="1" si="5"/>
        <v/>
      </c>
      <c r="F15" s="155" t="str">
        <f t="shared" ca="1" si="5"/>
        <v/>
      </c>
      <c r="G15" s="156" t="str">
        <f t="shared" ca="1" si="5"/>
        <v/>
      </c>
      <c r="H15" s="157" t="str">
        <f t="shared" ca="1" si="5"/>
        <v/>
      </c>
      <c r="I15" s="157" t="str">
        <f t="shared" ca="1" si="5"/>
        <v/>
      </c>
      <c r="J15" s="157" t="str">
        <f t="shared" ca="1" si="5"/>
        <v/>
      </c>
      <c r="K15" s="156" t="str">
        <f t="shared" ca="1" si="5"/>
        <v/>
      </c>
      <c r="L15" s="156" t="str">
        <f t="shared" ca="1" si="5"/>
        <v/>
      </c>
      <c r="M15" s="156" t="str">
        <f t="shared" ca="1" si="5"/>
        <v/>
      </c>
      <c r="N15" s="156" t="str">
        <f t="shared" ca="1" si="1"/>
        <v/>
      </c>
      <c r="O15" s="157" t="str">
        <f t="shared" ca="1" si="1"/>
        <v/>
      </c>
      <c r="P15" s="157" t="str">
        <f t="shared" ca="1" si="1"/>
        <v/>
      </c>
      <c r="Q15" s="157" t="str">
        <f t="shared" ca="1" si="1"/>
        <v/>
      </c>
    </row>
    <row r="16" spans="2:19">
      <c r="C16" s="155" t="str">
        <f t="shared" ca="1" si="5"/>
        <v/>
      </c>
      <c r="D16" s="155" t="str">
        <f t="shared" ca="1" si="5"/>
        <v/>
      </c>
      <c r="E16" s="155" t="str">
        <f t="shared" ca="1" si="5"/>
        <v/>
      </c>
      <c r="F16" s="155" t="str">
        <f t="shared" ca="1" si="5"/>
        <v/>
      </c>
      <c r="G16" s="156" t="str">
        <f t="shared" ca="1" si="5"/>
        <v/>
      </c>
      <c r="H16" s="157" t="str">
        <f t="shared" ca="1" si="5"/>
        <v/>
      </c>
      <c r="I16" s="157" t="str">
        <f t="shared" ca="1" si="5"/>
        <v/>
      </c>
      <c r="J16" s="157" t="str">
        <f t="shared" ca="1" si="5"/>
        <v/>
      </c>
      <c r="K16" s="156" t="str">
        <f t="shared" ca="1" si="5"/>
        <v/>
      </c>
      <c r="L16" s="156" t="str">
        <f t="shared" ca="1" si="5"/>
        <v/>
      </c>
      <c r="M16" s="156" t="str">
        <f t="shared" ca="1" si="5"/>
        <v/>
      </c>
      <c r="N16" s="156" t="str">
        <f t="shared" ca="1" si="1"/>
        <v/>
      </c>
      <c r="O16" s="157" t="str">
        <f t="shared" ca="1" si="1"/>
        <v/>
      </c>
      <c r="P16" s="157" t="str">
        <f t="shared" ca="1" si="1"/>
        <v/>
      </c>
      <c r="Q16" s="157" t="str">
        <f t="shared" ca="1" si="1"/>
        <v/>
      </c>
    </row>
    <row r="17" spans="3:17">
      <c r="C17" s="155" t="str">
        <f t="shared" ca="1" si="5"/>
        <v/>
      </c>
      <c r="D17" s="155" t="str">
        <f t="shared" ca="1" si="5"/>
        <v/>
      </c>
      <c r="E17" s="155" t="str">
        <f t="shared" ca="1" si="5"/>
        <v/>
      </c>
      <c r="F17" s="155" t="str">
        <f t="shared" ca="1" si="5"/>
        <v/>
      </c>
      <c r="G17" s="156" t="str">
        <f t="shared" ca="1" si="5"/>
        <v/>
      </c>
      <c r="H17" s="157" t="str">
        <f t="shared" ca="1" si="5"/>
        <v/>
      </c>
      <c r="I17" s="157" t="str">
        <f t="shared" ca="1" si="5"/>
        <v/>
      </c>
      <c r="J17" s="157" t="str">
        <f t="shared" ca="1" si="5"/>
        <v/>
      </c>
      <c r="K17" s="156" t="str">
        <f t="shared" ca="1" si="5"/>
        <v/>
      </c>
      <c r="L17" s="156" t="str">
        <f t="shared" ca="1" si="5"/>
        <v/>
      </c>
      <c r="M17" s="156" t="str">
        <f t="shared" ca="1" si="5"/>
        <v/>
      </c>
      <c r="N17" s="156" t="str">
        <f t="shared" ca="1" si="1"/>
        <v/>
      </c>
      <c r="O17" s="157" t="str">
        <f t="shared" ca="1" si="1"/>
        <v/>
      </c>
      <c r="P17" s="157" t="str">
        <f t="shared" ca="1" si="1"/>
        <v/>
      </c>
      <c r="Q17" s="157" t="str">
        <f t="shared" ca="1" si="1"/>
        <v/>
      </c>
    </row>
    <row r="18" spans="3:17">
      <c r="C18" s="155" t="str">
        <f t="shared" ca="1" si="5"/>
        <v/>
      </c>
      <c r="D18" s="155" t="str">
        <f t="shared" ca="1" si="5"/>
        <v/>
      </c>
      <c r="E18" s="155" t="str">
        <f t="shared" ca="1" si="5"/>
        <v/>
      </c>
      <c r="F18" s="155" t="str">
        <f t="shared" ca="1" si="5"/>
        <v/>
      </c>
      <c r="G18" s="156" t="str">
        <f t="shared" ca="1" si="5"/>
        <v/>
      </c>
      <c r="H18" s="157" t="str">
        <f t="shared" ca="1" si="5"/>
        <v/>
      </c>
      <c r="I18" s="157" t="str">
        <f t="shared" ca="1" si="5"/>
        <v/>
      </c>
      <c r="J18" s="157" t="str">
        <f t="shared" ca="1" si="5"/>
        <v/>
      </c>
      <c r="K18" s="156" t="str">
        <f t="shared" ca="1" si="5"/>
        <v/>
      </c>
      <c r="L18" s="156" t="str">
        <f t="shared" ca="1" si="5"/>
        <v/>
      </c>
      <c r="M18" s="156" t="str">
        <f t="shared" ca="1" si="5"/>
        <v/>
      </c>
      <c r="N18" s="156" t="str">
        <f t="shared" ca="1" si="1"/>
        <v/>
      </c>
      <c r="O18" s="157" t="str">
        <f t="shared" ca="1" si="1"/>
        <v/>
      </c>
      <c r="P18" s="157" t="str">
        <f t="shared" ca="1" si="1"/>
        <v/>
      </c>
      <c r="Q18" s="157" t="str">
        <f t="shared" ca="1" si="1"/>
        <v/>
      </c>
    </row>
    <row r="19" spans="3:17">
      <c r="C19" s="155" t="str">
        <f t="shared" ca="1" si="5"/>
        <v/>
      </c>
      <c r="D19" s="155" t="str">
        <f t="shared" ca="1" si="5"/>
        <v/>
      </c>
      <c r="E19" s="155" t="str">
        <f t="shared" ca="1" si="5"/>
        <v/>
      </c>
      <c r="F19" s="155" t="str">
        <f t="shared" ca="1" si="5"/>
        <v/>
      </c>
      <c r="G19" s="156" t="str">
        <f t="shared" ca="1" si="5"/>
        <v/>
      </c>
      <c r="H19" s="157" t="str">
        <f t="shared" ca="1" si="5"/>
        <v/>
      </c>
      <c r="I19" s="157" t="str">
        <f t="shared" ca="1" si="5"/>
        <v/>
      </c>
      <c r="J19" s="157" t="str">
        <f t="shared" ca="1" si="5"/>
        <v/>
      </c>
      <c r="K19" s="156" t="str">
        <f t="shared" ca="1" si="5"/>
        <v/>
      </c>
      <c r="L19" s="156" t="str">
        <f t="shared" ca="1" si="5"/>
        <v/>
      </c>
      <c r="M19" s="156" t="str">
        <f t="shared" ca="1" si="5"/>
        <v/>
      </c>
      <c r="N19" s="156" t="str">
        <f t="shared" ca="1" si="1"/>
        <v/>
      </c>
      <c r="O19" s="157" t="str">
        <f t="shared" ca="1" si="1"/>
        <v/>
      </c>
      <c r="P19" s="157" t="str">
        <f t="shared" ca="1" si="1"/>
        <v/>
      </c>
      <c r="Q19" s="157" t="str">
        <f t="shared" ca="1" si="1"/>
        <v/>
      </c>
    </row>
    <row r="20" spans="3:17">
      <c r="C20" s="155" t="str">
        <f t="shared" ca="1" si="5"/>
        <v/>
      </c>
      <c r="D20" s="155" t="str">
        <f t="shared" ca="1" si="5"/>
        <v/>
      </c>
      <c r="E20" s="155" t="str">
        <f t="shared" ca="1" si="5"/>
        <v/>
      </c>
      <c r="F20" s="155" t="str">
        <f t="shared" ca="1" si="5"/>
        <v/>
      </c>
      <c r="G20" s="156" t="str">
        <f t="shared" ca="1" si="5"/>
        <v/>
      </c>
      <c r="H20" s="157" t="str">
        <f t="shared" ca="1" si="5"/>
        <v/>
      </c>
      <c r="I20" s="157" t="str">
        <f t="shared" ca="1" si="5"/>
        <v/>
      </c>
      <c r="J20" s="157" t="str">
        <f t="shared" ca="1" si="5"/>
        <v/>
      </c>
      <c r="K20" s="156" t="str">
        <f t="shared" ca="1" si="5"/>
        <v/>
      </c>
      <c r="L20" s="156" t="str">
        <f t="shared" ca="1" si="5"/>
        <v/>
      </c>
      <c r="M20" s="156" t="str">
        <f t="shared" ca="1" si="5"/>
        <v/>
      </c>
      <c r="N20" s="156" t="str">
        <f t="shared" ca="1" si="1"/>
        <v/>
      </c>
      <c r="O20" s="157" t="str">
        <f t="shared" ca="1" si="1"/>
        <v/>
      </c>
      <c r="P20" s="157" t="str">
        <f t="shared" ca="1" si="1"/>
        <v/>
      </c>
      <c r="Q20" s="157" t="str">
        <f t="shared" ca="1" si="1"/>
        <v/>
      </c>
    </row>
    <row r="21" spans="3:17">
      <c r="C21" s="155" t="str">
        <f t="shared" ca="1" si="5"/>
        <v/>
      </c>
      <c r="D21" s="155" t="str">
        <f t="shared" ca="1" si="5"/>
        <v/>
      </c>
      <c r="E21" s="155" t="str">
        <f t="shared" ca="1" si="5"/>
        <v/>
      </c>
      <c r="F21" s="155" t="str">
        <f t="shared" ca="1" si="5"/>
        <v/>
      </c>
      <c r="G21" s="156" t="str">
        <f t="shared" ca="1" si="5"/>
        <v/>
      </c>
      <c r="H21" s="157" t="str">
        <f t="shared" ca="1" si="5"/>
        <v/>
      </c>
      <c r="I21" s="157" t="str">
        <f t="shared" ca="1" si="5"/>
        <v/>
      </c>
      <c r="J21" s="157" t="str">
        <f t="shared" ca="1" si="5"/>
        <v/>
      </c>
      <c r="K21" s="156" t="str">
        <f t="shared" ca="1" si="5"/>
        <v/>
      </c>
      <c r="L21" s="156" t="str">
        <f t="shared" ca="1" si="5"/>
        <v/>
      </c>
      <c r="M21" s="156" t="str">
        <f t="shared" ca="1" si="5"/>
        <v/>
      </c>
      <c r="N21" s="156" t="str">
        <f t="shared" ca="1" si="1"/>
        <v/>
      </c>
      <c r="O21" s="157" t="str">
        <f t="shared" ca="1" si="1"/>
        <v/>
      </c>
      <c r="P21" s="157" t="str">
        <f t="shared" ca="1" si="1"/>
        <v/>
      </c>
      <c r="Q21" s="157" t="str">
        <f t="shared" ca="1" si="1"/>
        <v/>
      </c>
    </row>
    <row r="22" spans="3:17">
      <c r="C22" s="155" t="str">
        <f t="shared" ca="1" si="5"/>
        <v/>
      </c>
      <c r="D22" s="155" t="str">
        <f t="shared" ca="1" si="5"/>
        <v/>
      </c>
      <c r="E22" s="155" t="str">
        <f t="shared" ca="1" si="5"/>
        <v/>
      </c>
      <c r="F22" s="155" t="str">
        <f t="shared" ca="1" si="5"/>
        <v/>
      </c>
      <c r="G22" s="156" t="str">
        <f t="shared" ca="1" si="5"/>
        <v/>
      </c>
      <c r="H22" s="157" t="str">
        <f t="shared" ca="1" si="5"/>
        <v/>
      </c>
      <c r="I22" s="157" t="str">
        <f t="shared" ca="1" si="5"/>
        <v/>
      </c>
      <c r="J22" s="157" t="str">
        <f t="shared" ca="1" si="5"/>
        <v/>
      </c>
      <c r="K22" s="156" t="str">
        <f t="shared" ca="1" si="5"/>
        <v/>
      </c>
      <c r="L22" s="156" t="str">
        <f t="shared" ca="1" si="5"/>
        <v/>
      </c>
      <c r="M22" s="156" t="str">
        <f t="shared" ca="1" si="5"/>
        <v/>
      </c>
      <c r="N22" s="156" t="str">
        <f t="shared" ca="1" si="1"/>
        <v/>
      </c>
      <c r="O22" s="157" t="str">
        <f t="shared" ca="1" si="1"/>
        <v/>
      </c>
      <c r="P22" s="157" t="str">
        <f t="shared" ca="1" si="1"/>
        <v/>
      </c>
      <c r="Q22" s="157" t="str">
        <f t="shared" ca="1" si="1"/>
        <v/>
      </c>
    </row>
    <row r="23" spans="3:17">
      <c r="C23" s="155" t="str">
        <f t="shared" ca="1" si="5"/>
        <v/>
      </c>
      <c r="D23" s="155" t="str">
        <f t="shared" ca="1" si="5"/>
        <v/>
      </c>
      <c r="E23" s="155" t="str">
        <f t="shared" ca="1" si="5"/>
        <v/>
      </c>
      <c r="F23" s="155" t="str">
        <f t="shared" ca="1" si="5"/>
        <v/>
      </c>
      <c r="G23" s="156" t="str">
        <f t="shared" ca="1" si="5"/>
        <v/>
      </c>
      <c r="H23" s="157" t="str">
        <f t="shared" ca="1" si="5"/>
        <v/>
      </c>
      <c r="I23" s="157" t="str">
        <f t="shared" ca="1" si="5"/>
        <v/>
      </c>
      <c r="J23" s="157" t="str">
        <f t="shared" ca="1" si="5"/>
        <v/>
      </c>
      <c r="K23" s="156" t="str">
        <f t="shared" ca="1" si="5"/>
        <v/>
      </c>
      <c r="L23" s="156" t="str">
        <f t="shared" ca="1" si="5"/>
        <v/>
      </c>
      <c r="M23" s="156" t="str">
        <f t="shared" ca="1" si="5"/>
        <v/>
      </c>
      <c r="N23" s="156" t="str">
        <f t="shared" ca="1" si="1"/>
        <v/>
      </c>
      <c r="O23" s="157" t="str">
        <f t="shared" ca="1" si="1"/>
        <v/>
      </c>
      <c r="P23" s="157" t="str">
        <f t="shared" ca="1" si="1"/>
        <v/>
      </c>
      <c r="Q23" s="157" t="str">
        <f t="shared" ca="1" si="1"/>
        <v/>
      </c>
    </row>
    <row r="24" spans="3:17">
      <c r="C24" s="155" t="str">
        <f t="shared" ca="1" si="5"/>
        <v/>
      </c>
      <c r="D24" s="155" t="str">
        <f t="shared" ca="1" si="5"/>
        <v/>
      </c>
      <c r="E24" s="155" t="str">
        <f t="shared" ca="1" si="5"/>
        <v/>
      </c>
      <c r="F24" s="155" t="str">
        <f t="shared" ca="1" si="5"/>
        <v/>
      </c>
      <c r="G24" s="156" t="str">
        <f t="shared" ca="1" si="5"/>
        <v/>
      </c>
      <c r="H24" s="157" t="str">
        <f t="shared" ca="1" si="5"/>
        <v/>
      </c>
      <c r="I24" s="157" t="str">
        <f t="shared" ca="1" si="5"/>
        <v/>
      </c>
      <c r="J24" s="157" t="str">
        <f t="shared" ca="1" si="5"/>
        <v/>
      </c>
      <c r="K24" s="156" t="str">
        <f t="shared" ca="1" si="5"/>
        <v/>
      </c>
      <c r="L24" s="156" t="str">
        <f t="shared" ca="1" si="5"/>
        <v/>
      </c>
      <c r="M24" s="156" t="str">
        <f t="shared" ca="1" si="5"/>
        <v/>
      </c>
      <c r="N24" s="156" t="str">
        <f t="shared" ca="1" si="5"/>
        <v/>
      </c>
      <c r="O24" s="157" t="str">
        <f t="shared" ca="1" si="5"/>
        <v/>
      </c>
      <c r="P24" s="157" t="str">
        <f t="shared" ca="1" si="5"/>
        <v/>
      </c>
      <c r="Q24" s="157" t="str">
        <f t="shared" ca="1" si="5"/>
        <v/>
      </c>
    </row>
    <row r="25" spans="3:17">
      <c r="C25" s="155" t="str">
        <f t="shared" ca="1" si="5"/>
        <v/>
      </c>
      <c r="D25" s="155" t="str">
        <f t="shared" ca="1" si="5"/>
        <v/>
      </c>
      <c r="E25" s="155" t="str">
        <f t="shared" ca="1" si="5"/>
        <v/>
      </c>
      <c r="F25" s="155" t="str">
        <f t="shared" ca="1" si="5"/>
        <v/>
      </c>
      <c r="G25" s="156" t="str">
        <f t="shared" ca="1" si="5"/>
        <v/>
      </c>
      <c r="H25" s="157" t="str">
        <f t="shared" ca="1" si="5"/>
        <v/>
      </c>
      <c r="I25" s="157" t="str">
        <f t="shared" ca="1" si="5"/>
        <v/>
      </c>
      <c r="J25" s="157" t="str">
        <f t="shared" ca="1" si="5"/>
        <v/>
      </c>
      <c r="K25" s="156" t="str">
        <f t="shared" ca="1" si="5"/>
        <v/>
      </c>
      <c r="L25" s="156" t="str">
        <f t="shared" ca="1" si="5"/>
        <v/>
      </c>
      <c r="M25" s="156" t="str">
        <f t="shared" ca="1" si="5"/>
        <v/>
      </c>
      <c r="N25" s="156" t="str">
        <f t="shared" ca="1" si="5"/>
        <v/>
      </c>
      <c r="O25" s="157" t="str">
        <f t="shared" ca="1" si="5"/>
        <v/>
      </c>
      <c r="P25" s="157" t="str">
        <f t="shared" ca="1" si="5"/>
        <v/>
      </c>
      <c r="Q25" s="157" t="str">
        <f t="shared" ca="1" si="5"/>
        <v/>
      </c>
    </row>
    <row r="26" spans="3:17">
      <c r="C26" s="155" t="str">
        <f t="shared" ca="1" si="5"/>
        <v/>
      </c>
      <c r="D26" s="155" t="str">
        <f t="shared" ca="1" si="5"/>
        <v/>
      </c>
      <c r="E26" s="155" t="str">
        <f t="shared" ca="1" si="5"/>
        <v/>
      </c>
      <c r="F26" s="155" t="str">
        <f t="shared" ca="1" si="5"/>
        <v/>
      </c>
      <c r="G26" s="156" t="str">
        <f t="shared" ca="1" si="5"/>
        <v/>
      </c>
      <c r="H26" s="157" t="str">
        <f t="shared" ca="1" si="5"/>
        <v/>
      </c>
      <c r="I26" s="157" t="str">
        <f t="shared" ca="1" si="5"/>
        <v/>
      </c>
      <c r="J26" s="157" t="str">
        <f t="shared" ca="1" si="5"/>
        <v/>
      </c>
      <c r="K26" s="156" t="str">
        <f t="shared" ca="1" si="5"/>
        <v/>
      </c>
      <c r="L26" s="156" t="str">
        <f t="shared" ca="1" si="5"/>
        <v/>
      </c>
      <c r="M26" s="156" t="str">
        <f t="shared" ca="1" si="5"/>
        <v/>
      </c>
      <c r="N26" s="156" t="str">
        <f t="shared" ca="1" si="5"/>
        <v/>
      </c>
      <c r="O26" s="157" t="str">
        <f t="shared" ca="1" si="5"/>
        <v/>
      </c>
      <c r="P26" s="157" t="str">
        <f t="shared" ca="1" si="5"/>
        <v/>
      </c>
      <c r="Q26" s="157" t="str">
        <f t="shared" ca="1" si="5"/>
        <v/>
      </c>
    </row>
    <row r="27" spans="3:17">
      <c r="C27" s="155" t="str">
        <f t="shared" ca="1" si="5"/>
        <v/>
      </c>
      <c r="D27" s="155" t="str">
        <f t="shared" ca="1" si="5"/>
        <v/>
      </c>
      <c r="E27" s="155" t="str">
        <f t="shared" ca="1" si="5"/>
        <v/>
      </c>
      <c r="F27" s="155" t="str">
        <f t="shared" ca="1" si="5"/>
        <v/>
      </c>
      <c r="G27" s="156" t="str">
        <f t="shared" ca="1" si="5"/>
        <v/>
      </c>
      <c r="H27" s="157" t="str">
        <f t="shared" ca="1" si="5"/>
        <v/>
      </c>
      <c r="I27" s="157" t="str">
        <f t="shared" ca="1" si="5"/>
        <v/>
      </c>
      <c r="J27" s="157" t="str">
        <f t="shared" ca="1" si="5"/>
        <v/>
      </c>
      <c r="K27" s="156" t="str">
        <f t="shared" ca="1" si="5"/>
        <v/>
      </c>
      <c r="L27" s="156" t="str">
        <f t="shared" ca="1" si="5"/>
        <v/>
      </c>
      <c r="M27" s="156" t="str">
        <f t="shared" ca="1" si="5"/>
        <v/>
      </c>
      <c r="N27" s="156" t="str">
        <f t="shared" ca="1" si="5"/>
        <v/>
      </c>
      <c r="O27" s="157" t="str">
        <f t="shared" ca="1" si="5"/>
        <v/>
      </c>
      <c r="P27" s="157" t="str">
        <f t="shared" ca="1" si="5"/>
        <v/>
      </c>
      <c r="Q27" s="157" t="str">
        <f t="shared" ca="1" si="5"/>
        <v/>
      </c>
    </row>
    <row r="28" spans="3:17">
      <c r="C28" s="155" t="str">
        <f t="shared" ca="1" si="5"/>
        <v/>
      </c>
      <c r="D28" s="155" t="str">
        <f t="shared" ca="1" si="5"/>
        <v/>
      </c>
      <c r="E28" s="155" t="str">
        <f t="shared" ca="1" si="5"/>
        <v/>
      </c>
      <c r="F28" s="155" t="str">
        <f t="shared" ca="1" si="5"/>
        <v/>
      </c>
      <c r="G28" s="156" t="str">
        <f t="shared" ca="1" si="5"/>
        <v/>
      </c>
      <c r="H28" s="157" t="str">
        <f t="shared" ca="1" si="5"/>
        <v/>
      </c>
      <c r="I28" s="157" t="str">
        <f t="shared" ca="1" si="5"/>
        <v/>
      </c>
      <c r="J28" s="157" t="str">
        <f t="shared" ca="1" si="5"/>
        <v/>
      </c>
      <c r="K28" s="156" t="str">
        <f t="shared" ca="1" si="5"/>
        <v/>
      </c>
      <c r="L28" s="156" t="str">
        <f t="shared" ca="1" si="5"/>
        <v/>
      </c>
      <c r="M28" s="156" t="str">
        <f t="shared" ca="1" si="5"/>
        <v/>
      </c>
      <c r="N28" s="156" t="str">
        <f t="shared" ca="1" si="5"/>
        <v/>
      </c>
      <c r="O28" s="157" t="str">
        <f t="shared" ca="1" si="5"/>
        <v/>
      </c>
      <c r="P28" s="157" t="str">
        <f t="shared" ca="1" si="5"/>
        <v/>
      </c>
      <c r="Q28" s="157" t="str">
        <f t="shared" ca="1" si="5"/>
        <v/>
      </c>
    </row>
    <row r="29" spans="3:17">
      <c r="C29" s="155" t="str">
        <f t="shared" ref="C29:Q30" ca="1" si="6">IFERROR(INDIRECT("'"&amp;$B29&amp;"'!"&amp;C$5),"")</f>
        <v/>
      </c>
      <c r="D29" s="155" t="str">
        <f t="shared" ca="1" si="6"/>
        <v/>
      </c>
      <c r="E29" s="155" t="str">
        <f t="shared" ca="1" si="6"/>
        <v/>
      </c>
      <c r="F29" s="155" t="str">
        <f t="shared" ca="1" si="6"/>
        <v/>
      </c>
      <c r="G29" s="156" t="str">
        <f t="shared" ca="1" si="6"/>
        <v/>
      </c>
      <c r="H29" s="157" t="str">
        <f t="shared" ca="1" si="6"/>
        <v/>
      </c>
      <c r="I29" s="157" t="str">
        <f t="shared" ca="1" si="6"/>
        <v/>
      </c>
      <c r="J29" s="157" t="str">
        <f t="shared" ca="1" si="6"/>
        <v/>
      </c>
      <c r="K29" s="156" t="str">
        <f t="shared" ca="1" si="6"/>
        <v/>
      </c>
      <c r="L29" s="156" t="str">
        <f t="shared" ca="1" si="6"/>
        <v/>
      </c>
      <c r="M29" s="156" t="str">
        <f t="shared" ca="1" si="6"/>
        <v/>
      </c>
      <c r="N29" s="156" t="str">
        <f t="shared" ca="1" si="6"/>
        <v/>
      </c>
      <c r="O29" s="157" t="str">
        <f t="shared" ca="1" si="6"/>
        <v/>
      </c>
      <c r="P29" s="157" t="str">
        <f t="shared" ca="1" si="6"/>
        <v/>
      </c>
      <c r="Q29" s="157" t="str">
        <f t="shared" ca="1" si="6"/>
        <v/>
      </c>
    </row>
    <row r="30" spans="3:17">
      <c r="C30" s="155" t="str">
        <f t="shared" ca="1" si="6"/>
        <v/>
      </c>
      <c r="D30" s="155" t="str">
        <f t="shared" ca="1" si="6"/>
        <v/>
      </c>
      <c r="E30" s="155" t="str">
        <f t="shared" ca="1" si="6"/>
        <v/>
      </c>
      <c r="F30" s="155" t="str">
        <f t="shared" ca="1" si="6"/>
        <v/>
      </c>
      <c r="G30" s="156" t="str">
        <f t="shared" ca="1" si="6"/>
        <v/>
      </c>
      <c r="H30" s="157" t="str">
        <f t="shared" ca="1" si="6"/>
        <v/>
      </c>
      <c r="I30" s="157" t="str">
        <f t="shared" ca="1" si="6"/>
        <v/>
      </c>
      <c r="J30" s="157" t="str">
        <f t="shared" ca="1" si="6"/>
        <v/>
      </c>
      <c r="K30" s="156" t="str">
        <f t="shared" ca="1" si="6"/>
        <v/>
      </c>
      <c r="L30" s="156" t="str">
        <f t="shared" ca="1" si="6"/>
        <v/>
      </c>
      <c r="M30" s="156" t="str">
        <f t="shared" ca="1" si="6"/>
        <v/>
      </c>
      <c r="N30" s="156" t="str">
        <f t="shared" ca="1" si="6"/>
        <v/>
      </c>
      <c r="O30" s="157" t="str">
        <f t="shared" ca="1" si="6"/>
        <v/>
      </c>
      <c r="P30" s="157" t="str">
        <f t="shared" ca="1" si="6"/>
        <v/>
      </c>
      <c r="Q30" s="157" t="str">
        <f t="shared" ca="1" si="6"/>
        <v/>
      </c>
    </row>
  </sheetData>
  <mergeCells count="6">
    <mergeCell ref="G2:G4"/>
    <mergeCell ref="H2:J3"/>
    <mergeCell ref="K2:M3"/>
    <mergeCell ref="C2:F3"/>
    <mergeCell ref="O2:Q3"/>
    <mergeCell ref="N2:N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8"/>
  <sheetViews>
    <sheetView topLeftCell="F1" workbookViewId="0">
      <selection activeCell="I12" sqref="I12:J12"/>
    </sheetView>
  </sheetViews>
  <sheetFormatPr baseColWidth="10" defaultColWidth="8.83203125" defaultRowHeight="11" x14ac:dyDescent="0"/>
  <cols>
    <col min="1" max="1" width="1.5" style="1" customWidth="1"/>
    <col min="2" max="2" width="9.33203125" style="1" customWidth="1"/>
    <col min="3" max="3" width="14.5" style="1" customWidth="1"/>
    <col min="4" max="4" width="5.83203125" style="1" customWidth="1"/>
    <col min="5" max="5" width="1.83203125" style="1" customWidth="1"/>
    <col min="6" max="6" width="18" style="1" customWidth="1"/>
    <col min="7" max="7" width="13.5" style="1" customWidth="1"/>
    <col min="8" max="8" width="1.33203125" style="1" customWidth="1"/>
    <col min="9" max="9" width="16.33203125" style="1" customWidth="1"/>
    <col min="10" max="10" width="8.5" style="1" customWidth="1"/>
    <col min="11" max="11" width="1.6640625" style="1" customWidth="1"/>
    <col min="12" max="12" width="22.83203125" style="1" customWidth="1"/>
    <col min="13" max="13" width="8.5" style="1" customWidth="1"/>
    <col min="14" max="14" width="0.83203125" style="1" customWidth="1"/>
    <col min="15" max="15" width="2.83203125" style="1" customWidth="1"/>
    <col min="16" max="16" width="2.6640625" style="1" customWidth="1"/>
    <col min="17" max="17" width="15.5" style="1" customWidth="1"/>
    <col min="18" max="18" width="30.83203125" style="1" customWidth="1"/>
    <col min="19" max="19" width="23.5" style="1" customWidth="1"/>
    <col min="20" max="20" width="1" style="1" customWidth="1"/>
    <col min="21" max="21" width="24.33203125" style="1" customWidth="1"/>
    <col min="22" max="22" width="10.6640625" style="1" customWidth="1"/>
    <col min="23" max="23" width="12.5" style="1" customWidth="1"/>
    <col min="24" max="24" width="13.6640625" style="1" customWidth="1"/>
    <col min="25" max="25" width="12.83203125" style="1" customWidth="1"/>
    <col min="26" max="16384" width="8.83203125" style="1"/>
  </cols>
  <sheetData>
    <row r="1" spans="1:53" ht="6" customHeight="1" thickBot="1">
      <c r="A1" s="54"/>
      <c r="B1" s="14"/>
      <c r="C1" s="14"/>
      <c r="D1" s="14"/>
      <c r="E1" s="14"/>
      <c r="F1" s="14"/>
      <c r="G1" s="14"/>
      <c r="H1" s="14"/>
      <c r="I1" s="14"/>
      <c r="J1" s="14"/>
      <c r="K1" s="14"/>
      <c r="L1" s="14"/>
      <c r="M1" s="14"/>
      <c r="N1" s="14"/>
      <c r="O1" s="14"/>
      <c r="P1" s="14"/>
      <c r="Q1" s="14"/>
      <c r="R1" s="25"/>
      <c r="S1" s="14"/>
      <c r="T1" s="14"/>
      <c r="U1" s="14"/>
      <c r="V1" s="14"/>
      <c r="W1" s="14"/>
      <c r="X1" s="14"/>
      <c r="Y1" s="14"/>
      <c r="Z1" s="14"/>
      <c r="AA1" s="14"/>
      <c r="AB1" s="14"/>
      <c r="AC1" s="14"/>
      <c r="AD1" s="14"/>
      <c r="AE1" s="14"/>
      <c r="AF1" s="14"/>
      <c r="AG1" s="14"/>
      <c r="AH1" s="14"/>
      <c r="AI1" s="14"/>
      <c r="AJ1" s="14"/>
      <c r="AK1" s="14"/>
      <c r="AL1" s="14"/>
      <c r="AM1" s="14"/>
      <c r="AN1" s="14"/>
      <c r="AO1" s="14"/>
      <c r="AP1" s="14"/>
    </row>
    <row r="2" spans="1:53" ht="10.25" customHeight="1">
      <c r="A2" s="14"/>
      <c r="B2" s="14"/>
      <c r="C2" s="222"/>
      <c r="D2" s="17"/>
      <c r="E2" s="17"/>
      <c r="F2" s="17"/>
      <c r="G2" s="17"/>
      <c r="H2" s="17"/>
      <c r="I2" s="17"/>
      <c r="J2" s="54"/>
      <c r="K2" s="54"/>
      <c r="L2" s="54"/>
      <c r="M2" s="54"/>
      <c r="N2" s="14"/>
      <c r="O2" s="14"/>
      <c r="P2" s="14"/>
      <c r="Q2" s="14"/>
      <c r="S2" s="302" t="s">
        <v>233</v>
      </c>
      <c r="T2" s="303"/>
      <c r="U2" s="195"/>
      <c r="V2" s="195"/>
      <c r="W2" s="195"/>
      <c r="X2" s="14"/>
      <c r="Y2" s="14"/>
      <c r="Z2" s="14"/>
      <c r="AA2" s="14"/>
      <c r="AB2" s="14"/>
      <c r="AC2" s="14"/>
      <c r="AD2" s="14"/>
      <c r="AE2" s="14"/>
      <c r="AF2" s="14"/>
      <c r="AG2" s="14"/>
      <c r="AH2" s="14"/>
      <c r="AI2" s="14"/>
      <c r="AJ2" s="14"/>
      <c r="AK2" s="14"/>
      <c r="AL2" s="14"/>
      <c r="AM2" s="14"/>
      <c r="AN2" s="14"/>
      <c r="AO2" s="14"/>
      <c r="AP2" s="14"/>
      <c r="AR2" t="s">
        <v>133</v>
      </c>
      <c r="AS2" t="s">
        <v>134</v>
      </c>
      <c r="AT2" t="s">
        <v>135</v>
      </c>
      <c r="AU2" t="s">
        <v>136</v>
      </c>
      <c r="AV2" t="s">
        <v>137</v>
      </c>
      <c r="AW2" t="s">
        <v>138</v>
      </c>
      <c r="AX2" t="s">
        <v>139</v>
      </c>
      <c r="AY2" t="s">
        <v>168</v>
      </c>
      <c r="AZ2" t="s">
        <v>141</v>
      </c>
    </row>
    <row r="3" spans="1:53" ht="10.25" customHeight="1" thickBot="1">
      <c r="A3" s="14"/>
      <c r="B3" s="222"/>
      <c r="C3" s="222"/>
      <c r="D3" s="17"/>
      <c r="E3" s="17"/>
      <c r="F3" s="17"/>
      <c r="G3" s="17"/>
      <c r="H3" s="17"/>
      <c r="I3" s="17"/>
      <c r="J3" s="54"/>
      <c r="K3" s="54"/>
      <c r="L3" s="54"/>
      <c r="M3" s="54"/>
      <c r="N3" s="14"/>
      <c r="O3" s="14"/>
      <c r="P3" s="14"/>
      <c r="Q3" s="14"/>
      <c r="R3" s="195"/>
      <c r="S3" s="304"/>
      <c r="T3" s="305"/>
      <c r="U3" s="195"/>
      <c r="V3" s="195"/>
      <c r="W3" s="195"/>
      <c r="X3" s="14"/>
      <c r="Y3" s="14"/>
      <c r="Z3" s="14"/>
      <c r="AA3" s="14"/>
      <c r="AB3" s="14"/>
      <c r="AC3" s="14"/>
      <c r="AD3" s="14"/>
      <c r="AE3" s="14"/>
      <c r="AF3" s="14"/>
      <c r="AG3" s="14"/>
      <c r="AH3" s="14"/>
      <c r="AI3" s="14"/>
      <c r="AJ3" s="14"/>
      <c r="AK3" s="14"/>
      <c r="AL3" s="14"/>
      <c r="AM3" s="14"/>
      <c r="AN3" s="14"/>
      <c r="AO3" s="14"/>
      <c r="AP3" s="14"/>
      <c r="AR3"/>
      <c r="AS3"/>
      <c r="AT3"/>
      <c r="AU3"/>
      <c r="AV3"/>
      <c r="AW3"/>
      <c r="AX3"/>
      <c r="AY3"/>
      <c r="AZ3"/>
    </row>
    <row r="4" spans="1:53" ht="40.75" customHeight="1">
      <c r="A4" s="14"/>
      <c r="B4" s="317" t="s">
        <v>295</v>
      </c>
      <c r="C4" s="317"/>
      <c r="D4" s="317"/>
      <c r="E4" s="224"/>
      <c r="F4" s="313" t="s">
        <v>232</v>
      </c>
      <c r="G4" s="314"/>
      <c r="H4" s="17"/>
      <c r="I4" s="14"/>
      <c r="J4" s="14"/>
      <c r="K4" s="14"/>
      <c r="L4" s="14"/>
      <c r="M4" s="14"/>
      <c r="N4" s="77"/>
      <c r="O4" s="77"/>
      <c r="P4" s="77"/>
      <c r="Q4" s="189"/>
      <c r="R4" s="240" t="s">
        <v>213</v>
      </c>
      <c r="S4" s="240" t="s">
        <v>30</v>
      </c>
      <c r="T4" s="298" t="s">
        <v>214</v>
      </c>
      <c r="U4" s="298"/>
      <c r="V4" s="298" t="s">
        <v>215</v>
      </c>
      <c r="W4" s="299"/>
      <c r="X4" s="14"/>
      <c r="Y4" s="14"/>
      <c r="Z4" s="14"/>
      <c r="AA4" s="14"/>
      <c r="AB4" s="14"/>
      <c r="AC4" s="14"/>
      <c r="AD4" s="14"/>
      <c r="AE4" s="14"/>
      <c r="AF4" s="14"/>
      <c r="AG4" s="14"/>
      <c r="AH4" s="14"/>
      <c r="AI4" s="14"/>
      <c r="AJ4" s="14"/>
      <c r="AK4" s="14"/>
      <c r="AL4" s="14"/>
      <c r="AM4" s="14"/>
      <c r="AN4" s="14"/>
      <c r="AO4" s="14"/>
      <c r="AP4" s="14"/>
      <c r="AR4">
        <v>0</v>
      </c>
      <c r="AS4" s="85">
        <f>Q36</f>
        <v>288</v>
      </c>
      <c r="AT4" s="85">
        <f>(1-$D$11)*AS4</f>
        <v>288</v>
      </c>
      <c r="AU4" s="85"/>
      <c r="AV4"/>
      <c r="AW4">
        <f>IF(ISNUMBER(AR5),SUM(AT4:AU4),SUM(AT4:AV4))</f>
        <v>288</v>
      </c>
      <c r="AX4" s="86">
        <f t="shared" ref="AX4:AX30" si="0">LN(AW4+$J$36)-LN($J$36)</f>
        <v>0.69677796237285428</v>
      </c>
      <c r="AY4">
        <f>IF(ISNUMBER(AR4),AX4/(1+$D$7)^AR4,0)</f>
        <v>0.69677796237285428</v>
      </c>
      <c r="AZ4"/>
    </row>
    <row r="5" spans="1:53" ht="10.75" customHeight="1" thickBot="1">
      <c r="A5" s="14"/>
      <c r="B5" s="318"/>
      <c r="C5" s="318"/>
      <c r="D5" s="318"/>
      <c r="E5" s="223"/>
      <c r="F5" s="315"/>
      <c r="G5" s="316"/>
      <c r="H5" s="27"/>
      <c r="I5" s="27"/>
      <c r="J5" s="14"/>
      <c r="K5" s="14"/>
      <c r="L5" s="14"/>
      <c r="M5" s="14"/>
      <c r="N5" s="14"/>
      <c r="O5" s="14"/>
      <c r="P5" s="14"/>
      <c r="Q5" s="234" t="s">
        <v>236</v>
      </c>
      <c r="R5" s="233">
        <f>D36/(1+D7)^10</f>
        <v>0.1553200531458121</v>
      </c>
      <c r="S5" s="233">
        <f>R5*(1-1/(1+D7)^G16)/(1-1/(1+D7))</f>
        <v>2.7984077146577926</v>
      </c>
      <c r="T5" s="300">
        <f>S5*G7*G9*G18*G8/G36</f>
        <v>0</v>
      </c>
      <c r="U5" s="300"/>
      <c r="V5" s="300">
        <f>G14*G11</f>
        <v>0</v>
      </c>
      <c r="W5" s="301"/>
      <c r="X5" s="14"/>
      <c r="Y5" s="14"/>
      <c r="Z5" s="14"/>
      <c r="AA5" s="14"/>
      <c r="AB5" s="14"/>
      <c r="AC5" s="14"/>
      <c r="AD5" s="14"/>
      <c r="AE5" s="14"/>
      <c r="AF5" s="14"/>
      <c r="AG5" s="14"/>
      <c r="AH5" s="14"/>
      <c r="AI5" s="14"/>
      <c r="AJ5" s="14"/>
      <c r="AK5" s="14"/>
      <c r="AL5" s="14"/>
      <c r="AM5" s="14"/>
      <c r="AN5" s="14"/>
      <c r="AO5" s="14"/>
      <c r="AP5" s="14"/>
      <c r="AR5" t="str">
        <f t="shared" ref="AR5:AR68" si="1">IF(AR4&lt;$D$14,AR4+1,"")</f>
        <v/>
      </c>
      <c r="AS5" s="85">
        <f>AS4-AT4</f>
        <v>0</v>
      </c>
      <c r="AT5" s="85"/>
      <c r="AU5" s="85">
        <f t="shared" ref="AU5:AU70" si="2">$D$10*AS5</f>
        <v>0</v>
      </c>
      <c r="AV5" s="85">
        <f>AS5</f>
        <v>0</v>
      </c>
      <c r="AW5">
        <f t="shared" ref="AW5:AW14" si="3">IF(ISNUMBER(AR6),SUM(AT5:AU5),SUM(AT5:AV5))</f>
        <v>0</v>
      </c>
      <c r="AX5" s="86">
        <f t="shared" si="0"/>
        <v>0</v>
      </c>
      <c r="AY5">
        <f t="shared" ref="AY5:AY70" si="4">IF(ISNUMBER(AR5),AX5/(1+$D$7)^AR5,0)</f>
        <v>0</v>
      </c>
      <c r="AZ5">
        <f>SUM(AY5:AY113)</f>
        <v>0</v>
      </c>
      <c r="BA5" s="1">
        <f>SUM(AY5:AY23)</f>
        <v>0</v>
      </c>
    </row>
    <row r="6" spans="1:53" ht="14">
      <c r="A6" s="14"/>
      <c r="B6" s="10"/>
      <c r="C6" s="311" t="s">
        <v>12</v>
      </c>
      <c r="D6" s="311"/>
      <c r="E6" s="49"/>
      <c r="F6" s="23" t="s">
        <v>13</v>
      </c>
      <c r="G6" s="24"/>
      <c r="H6" s="50"/>
      <c r="I6" s="311" t="s">
        <v>40</v>
      </c>
      <c r="J6" s="311"/>
      <c r="K6" s="159"/>
      <c r="L6" s="312" t="s">
        <v>210</v>
      </c>
      <c r="M6" s="312"/>
      <c r="N6" s="11"/>
      <c r="O6" s="6"/>
      <c r="P6" s="14"/>
      <c r="Q6" s="234" t="s">
        <v>237</v>
      </c>
      <c r="R6" s="233">
        <f>(M15*M11)/(1+D7)^10</f>
        <v>1.3260526276480399E-2</v>
      </c>
      <c r="S6" s="233">
        <f>R6*(1-1/(1+D7)^G16)/(1-1/(1+D7))</f>
        <v>0.23891544125141631</v>
      </c>
      <c r="T6" s="300">
        <f>S6*M8*M9*M14*(W36/V36)</f>
        <v>2.4026929541850765E-3</v>
      </c>
      <c r="U6" s="300"/>
      <c r="V6" s="300">
        <v>0</v>
      </c>
      <c r="W6" s="301"/>
      <c r="X6" s="14"/>
      <c r="Y6" s="14"/>
      <c r="Z6" s="14"/>
      <c r="AA6" s="14"/>
      <c r="AB6" s="14"/>
      <c r="AC6" s="14"/>
      <c r="AD6" s="14"/>
      <c r="AE6" s="14"/>
      <c r="AF6" s="14"/>
      <c r="AG6" s="14"/>
      <c r="AH6" s="14"/>
      <c r="AI6" s="14"/>
      <c r="AJ6" s="14"/>
      <c r="AK6" s="14"/>
      <c r="AL6" s="14"/>
      <c r="AM6" s="14"/>
      <c r="AN6" s="14"/>
      <c r="AO6" s="14"/>
      <c r="AP6" s="14"/>
      <c r="AR6" t="str">
        <f t="shared" si="1"/>
        <v/>
      </c>
      <c r="AS6" s="85">
        <f t="shared" ref="AS6:AS71" si="5">IF(ISNUMBER(AR6),AV5,0)</f>
        <v>0</v>
      </c>
      <c r="AT6" s="85"/>
      <c r="AU6" s="85">
        <f t="shared" si="2"/>
        <v>0</v>
      </c>
      <c r="AV6" s="85">
        <f t="shared" ref="AV6:AV71" si="6">AS6</f>
        <v>0</v>
      </c>
      <c r="AW6">
        <f t="shared" si="3"/>
        <v>0</v>
      </c>
      <c r="AX6" s="86">
        <f t="shared" si="0"/>
        <v>0</v>
      </c>
      <c r="AY6">
        <f t="shared" si="4"/>
        <v>0</v>
      </c>
      <c r="AZ6"/>
    </row>
    <row r="7" spans="1:53" ht="20.5" customHeight="1">
      <c r="A7" s="14"/>
      <c r="B7" s="306" t="s">
        <v>47</v>
      </c>
      <c r="C7" s="139" t="s">
        <v>0</v>
      </c>
      <c r="D7" s="179">
        <v>0.05</v>
      </c>
      <c r="E7" s="2"/>
      <c r="F7" s="174" t="s">
        <v>4</v>
      </c>
      <c r="G7" s="175"/>
      <c r="H7" s="4"/>
      <c r="I7" s="174" t="s">
        <v>8</v>
      </c>
      <c r="J7" s="175"/>
      <c r="K7" s="160"/>
      <c r="L7" s="174" t="s">
        <v>217</v>
      </c>
      <c r="M7" s="180">
        <v>0.06</v>
      </c>
      <c r="N7" s="12"/>
      <c r="O7" s="6"/>
      <c r="P7" s="14"/>
      <c r="Q7" s="15"/>
      <c r="R7" s="6"/>
      <c r="S7" s="6"/>
      <c r="T7" s="6"/>
      <c r="U7" s="164"/>
      <c r="V7" s="6"/>
      <c r="W7" s="12"/>
      <c r="X7" s="14"/>
      <c r="Y7" s="14"/>
      <c r="Z7" s="14"/>
      <c r="AA7" s="14"/>
      <c r="AB7" s="14"/>
      <c r="AC7" s="14"/>
      <c r="AD7" s="14"/>
      <c r="AE7" s="14"/>
      <c r="AF7" s="14"/>
      <c r="AG7" s="14"/>
      <c r="AH7" s="14"/>
      <c r="AI7" s="14"/>
      <c r="AJ7" s="14"/>
      <c r="AK7" s="14"/>
      <c r="AL7" s="14"/>
      <c r="AM7" s="14"/>
      <c r="AN7" s="14"/>
      <c r="AO7" s="14"/>
      <c r="AP7" s="14"/>
      <c r="AR7" t="str">
        <f t="shared" si="1"/>
        <v/>
      </c>
      <c r="AS7" s="85">
        <f>IF(ISNUMBER(AR7),AV6,0)</f>
        <v>0</v>
      </c>
      <c r="AT7" s="85"/>
      <c r="AU7" s="85">
        <f t="shared" si="2"/>
        <v>0</v>
      </c>
      <c r="AV7" s="85">
        <f t="shared" si="6"/>
        <v>0</v>
      </c>
      <c r="AW7">
        <f t="shared" si="3"/>
        <v>0</v>
      </c>
      <c r="AX7" s="86">
        <f t="shared" si="0"/>
        <v>0</v>
      </c>
      <c r="AY7">
        <f t="shared" si="4"/>
        <v>0</v>
      </c>
      <c r="AZ7"/>
    </row>
    <row r="8" spans="1:53" ht="20.5" customHeight="1">
      <c r="A8" s="14"/>
      <c r="B8" s="306"/>
      <c r="C8" s="127"/>
      <c r="D8" s="127"/>
      <c r="E8" s="51"/>
      <c r="F8" s="178" t="s">
        <v>6</v>
      </c>
      <c r="G8" s="13"/>
      <c r="H8" s="5"/>
      <c r="I8" s="153" t="s">
        <v>9</v>
      </c>
      <c r="J8" s="154"/>
      <c r="K8" s="161"/>
      <c r="L8" s="153" t="s">
        <v>211</v>
      </c>
      <c r="M8" s="154">
        <v>0.7</v>
      </c>
      <c r="N8" s="12"/>
      <c r="O8" s="6"/>
      <c r="P8" s="14"/>
      <c r="Q8" s="309" t="s">
        <v>238</v>
      </c>
      <c r="R8" s="6"/>
      <c r="S8" s="235" t="s">
        <v>31</v>
      </c>
      <c r="T8" s="319" t="s">
        <v>34</v>
      </c>
      <c r="U8" s="319"/>
      <c r="V8" s="97"/>
      <c r="W8" s="12"/>
      <c r="X8" s="14"/>
      <c r="Y8" s="14"/>
      <c r="Z8" s="14"/>
      <c r="AA8" s="14"/>
      <c r="AB8" s="14"/>
      <c r="AC8" s="14"/>
      <c r="AD8" s="14"/>
      <c r="AE8" s="14"/>
      <c r="AF8" s="14"/>
      <c r="AG8" s="14"/>
      <c r="AH8" s="14"/>
      <c r="AI8" s="14"/>
      <c r="AJ8" s="14"/>
      <c r="AK8" s="14"/>
      <c r="AL8" s="14"/>
      <c r="AM8" s="14"/>
      <c r="AN8" s="14"/>
      <c r="AO8" s="14"/>
      <c r="AP8" s="14"/>
      <c r="AR8" t="str">
        <f t="shared" si="1"/>
        <v/>
      </c>
      <c r="AS8" s="85">
        <f t="shared" si="5"/>
        <v>0</v>
      </c>
      <c r="AT8" s="85"/>
      <c r="AU8" s="85">
        <f t="shared" si="2"/>
        <v>0</v>
      </c>
      <c r="AV8" s="85">
        <f t="shared" si="6"/>
        <v>0</v>
      </c>
      <c r="AW8">
        <f t="shared" si="3"/>
        <v>0</v>
      </c>
      <c r="AX8" s="86">
        <f t="shared" si="0"/>
        <v>0</v>
      </c>
      <c r="AY8">
        <f t="shared" si="4"/>
        <v>0</v>
      </c>
      <c r="AZ8"/>
    </row>
    <row r="9" spans="1:53" ht="33">
      <c r="A9" s="14"/>
      <c r="B9" s="306"/>
      <c r="C9" s="307" t="s">
        <v>14</v>
      </c>
      <c r="D9" s="307"/>
      <c r="E9" s="2"/>
      <c r="F9" s="153" t="s">
        <v>177</v>
      </c>
      <c r="G9" s="154"/>
      <c r="H9" s="5"/>
      <c r="I9" s="153" t="s">
        <v>204</v>
      </c>
      <c r="J9" s="154"/>
      <c r="K9" s="161"/>
      <c r="L9" s="153" t="s">
        <v>212</v>
      </c>
      <c r="M9" s="154">
        <v>0.5</v>
      </c>
      <c r="N9" s="12"/>
      <c r="O9" s="6"/>
      <c r="P9" s="14"/>
      <c r="Q9" s="309"/>
      <c r="R9" s="21" t="s">
        <v>46</v>
      </c>
      <c r="S9" s="125">
        <f>($V$5+$T$5*J14)*J7*J11</f>
        <v>0</v>
      </c>
      <c r="T9" s="310" t="e">
        <f>J12*S9/(J16/J9)</f>
        <v>#DIV/0!</v>
      </c>
      <c r="U9" s="308"/>
      <c r="V9" s="99"/>
      <c r="W9" s="12"/>
      <c r="X9" s="14"/>
      <c r="Y9" s="14"/>
      <c r="Z9" s="14"/>
      <c r="AA9" s="14"/>
      <c r="AB9" s="14"/>
      <c r="AC9" s="14"/>
      <c r="AD9" s="14"/>
      <c r="AE9" s="14"/>
      <c r="AF9" s="14"/>
      <c r="AG9" s="14"/>
      <c r="AH9" s="14"/>
      <c r="AI9" s="14"/>
      <c r="AJ9" s="14"/>
      <c r="AK9" s="14"/>
      <c r="AL9" s="14"/>
      <c r="AM9" s="14"/>
      <c r="AN9" s="14"/>
      <c r="AO9" s="14"/>
      <c r="AP9" s="14"/>
      <c r="AR9" t="str">
        <f t="shared" si="1"/>
        <v/>
      </c>
      <c r="AS9" s="85">
        <f t="shared" si="5"/>
        <v>0</v>
      </c>
      <c r="AT9" s="85"/>
      <c r="AU9" s="85">
        <f t="shared" si="2"/>
        <v>0</v>
      </c>
      <c r="AV9" s="85">
        <f t="shared" si="6"/>
        <v>0</v>
      </c>
      <c r="AW9">
        <f>IF(ISNUMBER(AR10),SUM(AT9:AU9),SUM(AT9:AV9))</f>
        <v>0</v>
      </c>
      <c r="AX9" s="86">
        <f t="shared" si="0"/>
        <v>0</v>
      </c>
      <c r="AY9">
        <f t="shared" si="4"/>
        <v>0</v>
      </c>
      <c r="AZ9"/>
    </row>
    <row r="10" spans="1:53" ht="26.5" customHeight="1">
      <c r="A10" s="14"/>
      <c r="B10" s="306"/>
      <c r="C10" s="121" t="s">
        <v>3</v>
      </c>
      <c r="D10" s="122"/>
      <c r="E10" s="112"/>
      <c r="F10" s="126" t="s">
        <v>176</v>
      </c>
      <c r="G10" s="140">
        <v>0.1</v>
      </c>
      <c r="H10" s="113"/>
      <c r="I10" s="153" t="s">
        <v>205</v>
      </c>
      <c r="J10" s="154"/>
      <c r="K10" s="161"/>
      <c r="L10" s="153" t="s">
        <v>227</v>
      </c>
      <c r="M10" s="154">
        <v>2</v>
      </c>
      <c r="N10" s="12"/>
      <c r="O10" s="6"/>
      <c r="P10" s="14"/>
      <c r="Q10" s="309"/>
      <c r="R10" s="21" t="s">
        <v>45</v>
      </c>
      <c r="S10" s="238">
        <f>($V$5+$T$5*J15)*J8*J18</f>
        <v>0</v>
      </c>
      <c r="T10" s="308" t="e">
        <f>S10/(J17/J10)</f>
        <v>#DIV/0!</v>
      </c>
      <c r="U10" s="308"/>
      <c r="V10" s="99"/>
      <c r="W10" s="12"/>
      <c r="X10" s="14"/>
      <c r="Y10" s="14"/>
      <c r="Z10" s="14"/>
      <c r="AA10" s="14"/>
      <c r="AB10" s="14"/>
      <c r="AC10" s="14"/>
      <c r="AD10" s="14"/>
      <c r="AE10" s="14"/>
      <c r="AF10" s="14"/>
      <c r="AG10" s="14"/>
      <c r="AH10" s="14"/>
      <c r="AI10" s="14"/>
      <c r="AJ10" s="14"/>
      <c r="AK10" s="14"/>
      <c r="AL10" s="14"/>
      <c r="AM10" s="14"/>
      <c r="AN10" s="14"/>
      <c r="AO10" s="14"/>
      <c r="AP10" s="14"/>
      <c r="AR10" t="str">
        <f t="shared" si="1"/>
        <v/>
      </c>
      <c r="AS10" s="85">
        <f>IF(ISNUMBER(AR10),AV9,0)</f>
        <v>0</v>
      </c>
      <c r="AT10" s="85"/>
      <c r="AU10" s="85">
        <f t="shared" si="2"/>
        <v>0</v>
      </c>
      <c r="AV10" s="85">
        <f t="shared" si="6"/>
        <v>0</v>
      </c>
      <c r="AW10">
        <f>IF(ISNUMBER(AR11),SUM(AT10:AU10),SUM(AT10:AV10))</f>
        <v>0</v>
      </c>
      <c r="AX10" s="86">
        <f t="shared" si="0"/>
        <v>0</v>
      </c>
      <c r="AY10">
        <f t="shared" si="4"/>
        <v>0</v>
      </c>
      <c r="AZ10"/>
    </row>
    <row r="11" spans="1:53" ht="33" customHeight="1">
      <c r="A11" s="14"/>
      <c r="B11" s="306"/>
      <c r="C11" s="134" t="s">
        <v>5</v>
      </c>
      <c r="D11" s="135"/>
      <c r="E11" s="3"/>
      <c r="F11" s="153" t="s">
        <v>186</v>
      </c>
      <c r="G11" s="136">
        <v>1</v>
      </c>
      <c r="H11" s="6"/>
      <c r="I11" s="153" t="s">
        <v>107</v>
      </c>
      <c r="J11" s="154"/>
      <c r="K11" s="161"/>
      <c r="L11" s="153" t="s">
        <v>226</v>
      </c>
      <c r="M11" s="154">
        <v>0.8</v>
      </c>
      <c r="N11" s="12"/>
      <c r="O11" s="14"/>
      <c r="P11" s="14"/>
      <c r="Q11" s="309"/>
      <c r="R11" s="21" t="s">
        <v>216</v>
      </c>
      <c r="S11" s="238">
        <f>T6*M12</f>
        <v>1.4416157725110458E-3</v>
      </c>
      <c r="T11" s="395">
        <f>M13*S11/(M7/M10)</f>
        <v>2.4026929541850765E-2</v>
      </c>
      <c r="U11" s="308"/>
      <c r="V11" s="99"/>
      <c r="W11" s="12"/>
      <c r="X11" s="14"/>
      <c r="Y11" s="14"/>
      <c r="Z11" s="14"/>
      <c r="AA11" s="14"/>
      <c r="AB11" s="14"/>
      <c r="AC11" s="14"/>
      <c r="AD11" s="14"/>
      <c r="AE11" s="14"/>
      <c r="AF11" s="14"/>
      <c r="AG11" s="14"/>
      <c r="AH11" s="14"/>
      <c r="AI11" s="14"/>
      <c r="AJ11" s="14"/>
      <c r="AK11" s="14"/>
      <c r="AL11" s="14"/>
      <c r="AM11" s="14"/>
      <c r="AN11" s="14"/>
      <c r="AO11" s="14"/>
      <c r="AP11" s="14"/>
      <c r="AR11" t="str">
        <f t="shared" si="1"/>
        <v/>
      </c>
      <c r="AS11" s="85">
        <f>IF(ISNUMBER(AR11),AV10,0)</f>
        <v>0</v>
      </c>
      <c r="AT11" s="85"/>
      <c r="AU11" s="85">
        <f t="shared" si="2"/>
        <v>0</v>
      </c>
      <c r="AV11" s="85">
        <f t="shared" si="6"/>
        <v>0</v>
      </c>
      <c r="AW11">
        <f>IF(ISNUMBER(AR12),SUM(AT11:AU11),SUM(AT11:AV11))</f>
        <v>0</v>
      </c>
      <c r="AX11" s="86">
        <f t="shared" si="0"/>
        <v>0</v>
      </c>
      <c r="AY11">
        <f t="shared" si="4"/>
        <v>0</v>
      </c>
      <c r="AZ11"/>
    </row>
    <row r="12" spans="1:53" ht="22.25" customHeight="1">
      <c r="A12" s="14"/>
      <c r="B12" s="15"/>
      <c r="C12" s="9"/>
      <c r="D12" s="8"/>
      <c r="E12" s="2"/>
      <c r="F12" s="52"/>
      <c r="G12" s="53"/>
      <c r="H12" s="9"/>
      <c r="I12" s="153" t="s">
        <v>330</v>
      </c>
      <c r="J12" s="154"/>
      <c r="K12" s="6"/>
      <c r="L12" s="153" t="s">
        <v>219</v>
      </c>
      <c r="M12" s="154">
        <v>0.6</v>
      </c>
      <c r="N12" s="12"/>
      <c r="O12" s="6"/>
      <c r="P12" s="14"/>
      <c r="Q12" s="123"/>
      <c r="R12" s="21"/>
      <c r="S12" s="124"/>
      <c r="T12" s="99"/>
      <c r="U12" s="99"/>
      <c r="V12" s="99"/>
      <c r="W12" s="12"/>
      <c r="X12" s="14"/>
      <c r="Y12" s="14"/>
      <c r="Z12" s="14"/>
      <c r="AA12" s="14"/>
      <c r="AB12" s="14"/>
      <c r="AC12" s="14"/>
      <c r="AD12" s="14"/>
      <c r="AE12" s="14"/>
      <c r="AF12" s="14"/>
      <c r="AG12" s="14"/>
      <c r="AH12" s="14"/>
      <c r="AI12" s="14"/>
      <c r="AJ12" s="14"/>
      <c r="AK12" s="14"/>
      <c r="AL12" s="14"/>
      <c r="AM12" s="14"/>
      <c r="AN12" s="14"/>
      <c r="AO12" s="14"/>
      <c r="AP12" s="14"/>
      <c r="AR12" t="str">
        <f t="shared" si="1"/>
        <v/>
      </c>
      <c r="AS12" s="85">
        <f>IF(ISNUMBER(AR12),AV11,0)</f>
        <v>0</v>
      </c>
      <c r="AT12" s="85"/>
      <c r="AU12" s="85">
        <f t="shared" si="2"/>
        <v>0</v>
      </c>
      <c r="AV12" s="85">
        <f t="shared" si="6"/>
        <v>0</v>
      </c>
      <c r="AW12">
        <f>IF(ISNUMBER(AR13),SUM(AT12:AU12),SUM(AT12:AV12))</f>
        <v>0</v>
      </c>
      <c r="AX12" s="86">
        <f t="shared" si="0"/>
        <v>0</v>
      </c>
      <c r="AY12">
        <f t="shared" si="4"/>
        <v>0</v>
      </c>
      <c r="AZ12"/>
    </row>
    <row r="13" spans="1:53" ht="24" customHeight="1">
      <c r="A13" s="14"/>
      <c r="B13" s="15"/>
      <c r="C13" s="9"/>
      <c r="D13" s="8"/>
      <c r="E13" s="2"/>
      <c r="F13" s="52"/>
      <c r="G13" s="53"/>
      <c r="H13" s="6"/>
      <c r="I13" s="9"/>
      <c r="J13" s="8"/>
      <c r="K13" s="6"/>
      <c r="L13" s="153" t="s">
        <v>218</v>
      </c>
      <c r="M13" s="154">
        <v>0.5</v>
      </c>
      <c r="N13" s="12"/>
      <c r="O13" s="6"/>
      <c r="P13" s="14"/>
      <c r="Q13" s="309" t="s">
        <v>239</v>
      </c>
      <c r="R13" s="48"/>
      <c r="S13" s="235" t="s">
        <v>173</v>
      </c>
      <c r="T13" s="319" t="s">
        <v>174</v>
      </c>
      <c r="U13" s="319"/>
      <c r="V13" s="235" t="s">
        <v>175</v>
      </c>
      <c r="W13" s="237" t="s">
        <v>184</v>
      </c>
      <c r="X13" s="14"/>
      <c r="Y13" s="14"/>
      <c r="Z13" s="14"/>
      <c r="AA13" s="14"/>
      <c r="AB13" s="14"/>
      <c r="AC13" s="14"/>
      <c r="AD13" s="14"/>
      <c r="AE13" s="14"/>
      <c r="AF13" s="14"/>
      <c r="AG13" s="14"/>
      <c r="AH13" s="14"/>
      <c r="AI13" s="14"/>
      <c r="AJ13" s="14"/>
      <c r="AK13" s="14"/>
      <c r="AL13" s="14"/>
      <c r="AM13" s="14"/>
      <c r="AN13" s="14"/>
      <c r="AO13" s="14"/>
      <c r="AP13" s="14"/>
      <c r="AR13" t="str">
        <f t="shared" si="1"/>
        <v/>
      </c>
      <c r="AS13" s="85">
        <f>IF(ISNUMBER(AR13),AV12,0)</f>
        <v>0</v>
      </c>
      <c r="AT13" s="85"/>
      <c r="AU13" s="85">
        <f t="shared" si="2"/>
        <v>0</v>
      </c>
      <c r="AV13" s="85">
        <f t="shared" si="6"/>
        <v>0</v>
      </c>
      <c r="AW13">
        <f t="shared" si="3"/>
        <v>0</v>
      </c>
      <c r="AX13" s="86">
        <f t="shared" si="0"/>
        <v>0</v>
      </c>
      <c r="AY13">
        <f t="shared" si="4"/>
        <v>0</v>
      </c>
      <c r="AZ13"/>
    </row>
    <row r="14" spans="1:53" ht="21" customHeight="1">
      <c r="A14" s="14"/>
      <c r="B14" s="357" t="s">
        <v>296</v>
      </c>
      <c r="C14" s="358" t="s">
        <v>1</v>
      </c>
      <c r="D14" s="359"/>
      <c r="E14" s="3"/>
      <c r="F14" s="358" t="s">
        <v>2</v>
      </c>
      <c r="G14" s="359"/>
      <c r="H14" s="6"/>
      <c r="I14" s="128" t="s">
        <v>11</v>
      </c>
      <c r="J14" s="129"/>
      <c r="K14" s="162"/>
      <c r="L14" s="153" t="s">
        <v>220</v>
      </c>
      <c r="M14" s="154">
        <v>1</v>
      </c>
      <c r="N14" s="12"/>
      <c r="O14" s="6"/>
      <c r="P14" s="14"/>
      <c r="Q14" s="309"/>
      <c r="R14" s="21" t="s">
        <v>46</v>
      </c>
      <c r="S14" s="238" t="e">
        <f>(1000/(J16/J9))*J14*J11*J12*G9*G10*G7*J7*G8*G18*(1/G36)</f>
        <v>#DIV/0!</v>
      </c>
      <c r="T14" s="325" t="e">
        <f>(((1000/(J16/J9))*G14)/U36)*J7*J11</f>
        <v>#DIV/0!</v>
      </c>
      <c r="U14" s="325"/>
      <c r="V14" s="238" t="e">
        <f>S14+T14</f>
        <v>#DIV/0!</v>
      </c>
      <c r="W14" s="192" t="e">
        <f>1000/V14</f>
        <v>#DIV/0!</v>
      </c>
      <c r="X14" s="14"/>
      <c r="Y14" s="14"/>
      <c r="Z14" s="14"/>
      <c r="AA14" s="14"/>
      <c r="AB14" s="14"/>
      <c r="AC14" s="14"/>
      <c r="AD14" s="14"/>
      <c r="AE14" s="14"/>
      <c r="AF14" s="14"/>
      <c r="AG14" s="14"/>
      <c r="AH14" s="14"/>
      <c r="AI14" s="14"/>
      <c r="AJ14" s="14"/>
      <c r="AK14" s="14"/>
      <c r="AL14" s="14"/>
      <c r="AM14" s="14"/>
      <c r="AN14" s="14"/>
      <c r="AO14" s="14"/>
      <c r="AP14" s="14"/>
      <c r="AR14" t="str">
        <f t="shared" si="1"/>
        <v/>
      </c>
      <c r="AS14" s="85">
        <f t="shared" si="5"/>
        <v>0</v>
      </c>
      <c r="AT14" s="85"/>
      <c r="AU14" s="85">
        <f t="shared" si="2"/>
        <v>0</v>
      </c>
      <c r="AV14" s="85">
        <f t="shared" si="6"/>
        <v>0</v>
      </c>
      <c r="AW14">
        <f t="shared" si="3"/>
        <v>0</v>
      </c>
      <c r="AX14" s="86">
        <f t="shared" si="0"/>
        <v>0</v>
      </c>
      <c r="AY14">
        <f t="shared" si="4"/>
        <v>0</v>
      </c>
      <c r="AZ14"/>
    </row>
    <row r="15" spans="1:53" ht="21" customHeight="1">
      <c r="A15" s="14"/>
      <c r="B15" s="357"/>
      <c r="C15" s="354"/>
      <c r="D15" s="359"/>
      <c r="E15" s="3"/>
      <c r="F15" s="354"/>
      <c r="G15" s="363"/>
      <c r="H15" s="6"/>
      <c r="I15" s="137" t="s">
        <v>10</v>
      </c>
      <c r="J15" s="138"/>
      <c r="K15" s="162"/>
      <c r="L15" s="176" t="s">
        <v>224</v>
      </c>
      <c r="M15" s="241">
        <f>(0.24*15)*0.0075</f>
        <v>2.6999999999999996E-2</v>
      </c>
      <c r="N15" s="12"/>
      <c r="O15" s="6"/>
      <c r="P15" s="14"/>
      <c r="Q15" s="309"/>
      <c r="R15" s="21" t="s">
        <v>45</v>
      </c>
      <c r="S15" s="230" t="e">
        <f>(1000/(J17/J10))*J15*J8*G10*G7*G8*J18*G9*G18*(1/G36)</f>
        <v>#DIV/0!</v>
      </c>
      <c r="T15" s="326" t="e">
        <f>(((1000/(J17/J10))*G14)/U36)*J18*J8</f>
        <v>#DIV/0!</v>
      </c>
      <c r="U15" s="326"/>
      <c r="V15" s="238" t="e">
        <f>S15+T15</f>
        <v>#DIV/0!</v>
      </c>
      <c r="W15" s="192" t="e">
        <f>1000/V15</f>
        <v>#DIV/0!</v>
      </c>
      <c r="X15" s="14"/>
      <c r="Y15" s="14"/>
      <c r="Z15" s="14"/>
      <c r="AA15" s="14"/>
      <c r="AB15" s="14"/>
      <c r="AC15" s="14"/>
      <c r="AD15" s="14"/>
      <c r="AE15" s="14"/>
      <c r="AF15" s="14"/>
      <c r="AG15" s="14"/>
      <c r="AH15" s="14"/>
      <c r="AI15" s="14"/>
      <c r="AJ15" s="14"/>
      <c r="AK15" s="14"/>
      <c r="AL15" s="14"/>
      <c r="AM15" s="14"/>
      <c r="AN15" s="14"/>
      <c r="AO15" s="14"/>
      <c r="AP15" s="14"/>
      <c r="AR15" t="str">
        <f t="shared" si="1"/>
        <v/>
      </c>
      <c r="AS15" s="85">
        <f t="shared" si="5"/>
        <v>0</v>
      </c>
      <c r="AT15" s="85"/>
      <c r="AU15" s="85">
        <f t="shared" si="2"/>
        <v>0</v>
      </c>
      <c r="AV15" s="85">
        <f t="shared" si="6"/>
        <v>0</v>
      </c>
      <c r="AW15">
        <f>IF(ISNUMBER(AR16),SUM(AT15:AU15),SUM(AT15:AV15))</f>
        <v>0</v>
      </c>
      <c r="AX15" s="86">
        <f t="shared" si="0"/>
        <v>0</v>
      </c>
      <c r="AY15">
        <f t="shared" si="4"/>
        <v>0</v>
      </c>
      <c r="AZ15"/>
    </row>
    <row r="16" spans="1:53" ht="21" customHeight="1">
      <c r="A16" s="14"/>
      <c r="B16" s="357"/>
      <c r="C16" s="353" t="s">
        <v>19</v>
      </c>
      <c r="D16" s="360"/>
      <c r="E16" s="3"/>
      <c r="F16" s="353" t="s">
        <v>303</v>
      </c>
      <c r="G16" s="355">
        <v>40</v>
      </c>
      <c r="H16" s="6"/>
      <c r="I16" s="132" t="s">
        <v>28</v>
      </c>
      <c r="J16" s="130"/>
      <c r="K16" s="163"/>
      <c r="L16" s="6"/>
      <c r="M16" s="6"/>
      <c r="N16" s="12"/>
      <c r="O16" s="6"/>
      <c r="P16" s="14"/>
      <c r="Q16" s="309"/>
      <c r="R16" s="21" t="s">
        <v>210</v>
      </c>
      <c r="S16" s="367">
        <f>(1000/(M7/M10))*M9*M8*(1/V36)*W36*M12*M14*M11*(M15/D36)*M13*G10</f>
        <v>0.85859288537549383</v>
      </c>
      <c r="T16" s="367"/>
      <c r="U16" s="239">
        <v>0</v>
      </c>
      <c r="V16" s="238">
        <f>S16+U16</f>
        <v>0.85859288537549383</v>
      </c>
      <c r="W16" s="192">
        <f>1000/V16</f>
        <v>1164.6963503111999</v>
      </c>
      <c r="X16" s="14"/>
      <c r="Y16" s="14"/>
      <c r="Z16" s="14"/>
      <c r="AA16" s="14"/>
      <c r="AB16" s="14"/>
      <c r="AC16" s="14"/>
      <c r="AD16" s="14"/>
      <c r="AE16" s="14"/>
      <c r="AF16" s="14"/>
      <c r="AG16" s="14"/>
      <c r="AH16" s="14"/>
      <c r="AI16" s="14"/>
      <c r="AJ16" s="14"/>
      <c r="AK16" s="14"/>
      <c r="AL16" s="14"/>
      <c r="AM16" s="14"/>
      <c r="AN16" s="14"/>
      <c r="AO16" s="14"/>
      <c r="AP16" s="14"/>
      <c r="AR16" t="str">
        <f t="shared" si="1"/>
        <v/>
      </c>
      <c r="AS16" s="85">
        <f t="shared" si="5"/>
        <v>0</v>
      </c>
      <c r="AT16" s="85"/>
      <c r="AU16" s="85">
        <f t="shared" si="2"/>
        <v>0</v>
      </c>
      <c r="AV16" s="85">
        <f t="shared" si="6"/>
        <v>0</v>
      </c>
      <c r="AW16">
        <f t="shared" ref="AW16:AW80" si="7">IF(ISNUMBER(AR17),SUM(AT16:AU16),SUM(AT16:AV16))</f>
        <v>0</v>
      </c>
      <c r="AX16" s="86">
        <f t="shared" si="0"/>
        <v>0</v>
      </c>
      <c r="AY16">
        <f t="shared" si="4"/>
        <v>0</v>
      </c>
      <c r="AZ16"/>
    </row>
    <row r="17" spans="1:53" ht="31.75" customHeight="1">
      <c r="A17" s="14"/>
      <c r="B17" s="357"/>
      <c r="C17" s="362"/>
      <c r="D17" s="361"/>
      <c r="E17" s="3"/>
      <c r="F17" s="354"/>
      <c r="G17" s="356"/>
      <c r="H17" s="6"/>
      <c r="I17" s="133" t="s">
        <v>7</v>
      </c>
      <c r="J17" s="131"/>
      <c r="K17" s="163"/>
      <c r="L17" s="14"/>
      <c r="M17" s="14"/>
      <c r="N17" s="12"/>
      <c r="O17" s="6"/>
      <c r="P17" s="14"/>
      <c r="Q17" s="15"/>
      <c r="R17" s="6"/>
      <c r="S17" s="6"/>
      <c r="T17" s="6"/>
      <c r="U17" s="6"/>
      <c r="V17" s="6"/>
      <c r="W17" s="12"/>
      <c r="X17" s="14"/>
      <c r="Y17" s="14"/>
      <c r="Z17" s="14"/>
      <c r="AA17" s="14"/>
      <c r="AB17" s="14"/>
      <c r="AC17" s="14"/>
      <c r="AD17" s="14"/>
      <c r="AE17" s="14"/>
      <c r="AF17" s="14"/>
      <c r="AG17" s="14"/>
      <c r="AH17" s="14"/>
      <c r="AI17" s="14"/>
      <c r="AJ17" s="14"/>
      <c r="AK17" s="14"/>
      <c r="AL17" s="14"/>
      <c r="AM17" s="14"/>
      <c r="AN17" s="14"/>
      <c r="AO17" s="14"/>
      <c r="AP17" s="14"/>
      <c r="AR17" t="str">
        <f>IF(AR16&lt;$D$14,AR16+1,"")</f>
        <v/>
      </c>
      <c r="AS17" s="85">
        <f>IF(ISNUMBER(AR17),AV16,0)</f>
        <v>0</v>
      </c>
      <c r="AT17" s="85"/>
      <c r="AU17" s="85">
        <f t="shared" si="2"/>
        <v>0</v>
      </c>
      <c r="AV17" s="85">
        <f t="shared" si="6"/>
        <v>0</v>
      </c>
      <c r="AW17">
        <f>IF(ISNUMBER(AR18),SUM(AT17:AU17),SUM(AT17:AV17))</f>
        <v>0</v>
      </c>
      <c r="AX17" s="86">
        <f t="shared" si="0"/>
        <v>0</v>
      </c>
      <c r="AY17">
        <f t="shared" si="4"/>
        <v>0</v>
      </c>
      <c r="AZ17"/>
    </row>
    <row r="18" spans="1:53" ht="30.5" customHeight="1">
      <c r="A18" s="14"/>
      <c r="B18" s="357"/>
      <c r="C18" s="6"/>
      <c r="D18" s="6"/>
      <c r="E18" s="3"/>
      <c r="F18" s="150" t="s">
        <v>254</v>
      </c>
      <c r="G18" s="147"/>
      <c r="H18" s="6"/>
      <c r="I18" s="146" t="s">
        <v>131</v>
      </c>
      <c r="J18" s="145"/>
      <c r="K18" s="162"/>
      <c r="L18" s="14"/>
      <c r="M18" s="14"/>
      <c r="N18" s="12"/>
      <c r="O18" s="6"/>
      <c r="P18" s="6"/>
      <c r="Q18" s="309" t="s">
        <v>240</v>
      </c>
      <c r="R18" s="235" t="s">
        <v>179</v>
      </c>
      <c r="S18" s="235" t="s">
        <v>35</v>
      </c>
      <c r="T18" s="319" t="s">
        <v>36</v>
      </c>
      <c r="U18" s="319"/>
      <c r="V18" s="319" t="s">
        <v>34</v>
      </c>
      <c r="W18" s="324"/>
      <c r="X18" s="14"/>
      <c r="Y18" s="14"/>
      <c r="Z18" s="14"/>
      <c r="AA18" s="14"/>
      <c r="AB18" s="14"/>
      <c r="AC18" s="14"/>
      <c r="AD18" s="14"/>
      <c r="AE18" s="14"/>
      <c r="AF18" s="14"/>
      <c r="AG18" s="14"/>
      <c r="AH18" s="14"/>
      <c r="AI18" s="14"/>
      <c r="AJ18" s="14"/>
      <c r="AK18" s="14"/>
      <c r="AL18" s="14"/>
      <c r="AM18" s="14"/>
      <c r="AN18" s="14"/>
      <c r="AO18" s="14"/>
      <c r="AP18" s="14"/>
      <c r="AR18" t="str">
        <f>IF(AR17&lt;$D$14,AR17+1,"")</f>
        <v/>
      </c>
      <c r="AS18" s="85">
        <f>IF(ISNUMBER(AR18),AV17,0)</f>
        <v>0</v>
      </c>
      <c r="AT18" s="85"/>
      <c r="AU18" s="85">
        <f t="shared" si="2"/>
        <v>0</v>
      </c>
      <c r="AV18" s="85">
        <f t="shared" si="6"/>
        <v>0</v>
      </c>
      <c r="AW18">
        <f>IF(ISNUMBER(AR19),SUM(AT18:AU18),SUM(AT18:AV18))</f>
        <v>0</v>
      </c>
      <c r="AX18" s="86">
        <f t="shared" si="0"/>
        <v>0</v>
      </c>
      <c r="AY18">
        <f t="shared" si="4"/>
        <v>0</v>
      </c>
      <c r="AZ18"/>
    </row>
    <row r="19" spans="1:53" ht="10.25" customHeight="1" thickBot="1">
      <c r="A19" s="14"/>
      <c r="B19" s="141"/>
      <c r="C19" s="7"/>
      <c r="D19" s="7"/>
      <c r="E19" s="7"/>
      <c r="F19" s="142"/>
      <c r="G19" s="143"/>
      <c r="H19" s="7"/>
      <c r="I19" s="7"/>
      <c r="J19" s="7"/>
      <c r="K19" s="7"/>
      <c r="L19" s="172"/>
      <c r="M19" s="7"/>
      <c r="N19" s="144"/>
      <c r="O19" s="6"/>
      <c r="P19" s="14"/>
      <c r="Q19" s="321"/>
      <c r="R19" s="236">
        <f>AZ5</f>
        <v>0</v>
      </c>
      <c r="S19" s="236">
        <f>AY4</f>
        <v>0.69677796237285428</v>
      </c>
      <c r="T19" s="320">
        <f>R19+S19</f>
        <v>0.69677796237285428</v>
      </c>
      <c r="U19" s="320"/>
      <c r="V19" s="322" t="e">
        <f>T19/(Jake!Q36/Jake!D16)</f>
        <v>#DIV/0!</v>
      </c>
      <c r="W19" s="323"/>
      <c r="X19" s="14"/>
      <c r="Y19" s="14"/>
      <c r="Z19" s="14"/>
      <c r="AA19" s="14"/>
      <c r="AB19" s="14"/>
      <c r="AC19" s="14"/>
      <c r="AD19" s="14"/>
      <c r="AE19" s="14"/>
      <c r="AF19" s="14"/>
      <c r="AG19" s="14"/>
      <c r="AH19" s="14"/>
      <c r="AI19" s="14"/>
      <c r="AJ19" s="14"/>
      <c r="AK19" s="14"/>
      <c r="AL19" s="14"/>
      <c r="AM19" s="14"/>
      <c r="AN19" s="14"/>
      <c r="AO19" s="14"/>
      <c r="AP19" s="14"/>
      <c r="AR19" t="str">
        <f>IF(AR18&lt;$D$14,AR18+1,"")</f>
        <v/>
      </c>
      <c r="AS19" s="85">
        <f>IF(ISNUMBER(AR19),AV18,0)</f>
        <v>0</v>
      </c>
      <c r="AT19" s="85"/>
      <c r="AU19" s="85">
        <f t="shared" si="2"/>
        <v>0</v>
      </c>
      <c r="AV19" s="85">
        <f t="shared" si="6"/>
        <v>0</v>
      </c>
      <c r="AW19">
        <f t="shared" si="7"/>
        <v>0</v>
      </c>
      <c r="AX19" s="86">
        <f t="shared" si="0"/>
        <v>0</v>
      </c>
      <c r="AY19">
        <f t="shared" si="4"/>
        <v>0</v>
      </c>
      <c r="AZ19"/>
    </row>
    <row r="20" spans="1:53" ht="9.5" customHeight="1" thickBot="1">
      <c r="A20" s="14"/>
      <c r="B20" s="14"/>
      <c r="C20" s="14"/>
      <c r="D20" s="14"/>
      <c r="E20" s="14"/>
      <c r="F20" s="14"/>
      <c r="G20" s="14"/>
      <c r="H20" s="14"/>
      <c r="I20" s="14"/>
      <c r="J20" s="14"/>
      <c r="K20" s="14"/>
      <c r="L20" s="14"/>
      <c r="M20" s="14"/>
      <c r="N20" s="14"/>
      <c r="O20" s="14"/>
      <c r="P20" s="14"/>
      <c r="Q20" s="6"/>
      <c r="R20" s="6"/>
      <c r="S20" s="6"/>
      <c r="T20" s="6"/>
      <c r="U20" s="6"/>
      <c r="V20" s="6"/>
      <c r="W20" s="6"/>
      <c r="X20" s="14"/>
      <c r="Y20" s="14"/>
      <c r="Z20" s="14"/>
      <c r="AA20" s="14"/>
      <c r="AB20" s="14"/>
      <c r="AC20" s="14"/>
      <c r="AD20" s="14"/>
      <c r="AE20" s="14"/>
      <c r="AF20" s="14"/>
      <c r="AG20" s="14"/>
      <c r="AH20" s="14"/>
      <c r="AI20" s="14"/>
      <c r="AJ20" s="14"/>
      <c r="AK20" s="14"/>
      <c r="AL20" s="14"/>
      <c r="AM20" s="14"/>
      <c r="AN20" s="14"/>
      <c r="AO20" s="14"/>
      <c r="AP20" s="14"/>
      <c r="AR20" t="str">
        <f t="shared" si="1"/>
        <v/>
      </c>
      <c r="AS20" s="85">
        <f t="shared" si="5"/>
        <v>0</v>
      </c>
      <c r="AT20" s="85"/>
      <c r="AU20" s="85">
        <f t="shared" si="2"/>
        <v>0</v>
      </c>
      <c r="AV20" s="85">
        <f t="shared" si="6"/>
        <v>0</v>
      </c>
      <c r="AW20">
        <f t="shared" si="7"/>
        <v>0</v>
      </c>
      <c r="AX20" s="86">
        <f t="shared" si="0"/>
        <v>0</v>
      </c>
      <c r="AY20">
        <f t="shared" si="4"/>
        <v>0</v>
      </c>
      <c r="AZ20"/>
    </row>
    <row r="21" spans="1:53" ht="10.25" customHeight="1">
      <c r="A21" s="14"/>
      <c r="B21" s="14"/>
      <c r="C21" s="14"/>
      <c r="D21" s="14"/>
      <c r="E21" s="6"/>
      <c r="F21" s="384" t="s">
        <v>34</v>
      </c>
      <c r="G21" s="28" t="s">
        <v>33</v>
      </c>
      <c r="H21" s="29"/>
      <c r="I21" s="30" t="e">
        <f>T9</f>
        <v>#DIV/0!</v>
      </c>
      <c r="J21" s="31"/>
      <c r="K21" s="31"/>
      <c r="L21" s="31"/>
      <c r="M21" s="31"/>
      <c r="N21" s="32"/>
      <c r="O21" s="36"/>
      <c r="P21" s="6"/>
      <c r="Q21" s="181"/>
      <c r="R21" s="381" t="s">
        <v>301</v>
      </c>
      <c r="S21" s="382"/>
      <c r="T21" s="96"/>
      <c r="U21" s="377" t="s">
        <v>37</v>
      </c>
      <c r="V21" s="377"/>
      <c r="W21" s="378"/>
      <c r="X21" s="14"/>
      <c r="Y21" s="14"/>
      <c r="Z21" s="14"/>
      <c r="AA21" s="14"/>
      <c r="AB21" s="14"/>
      <c r="AC21" s="14"/>
      <c r="AD21" s="14"/>
      <c r="AE21" s="14"/>
      <c r="AF21" s="14"/>
      <c r="AG21" s="14"/>
      <c r="AH21" s="14"/>
      <c r="AI21" s="14"/>
      <c r="AJ21" s="14"/>
      <c r="AK21" s="14"/>
      <c r="AL21" s="14"/>
      <c r="AM21" s="14"/>
      <c r="AN21" s="14"/>
      <c r="AO21" s="14"/>
      <c r="AP21" s="14"/>
      <c r="AR21" t="str">
        <f t="shared" si="1"/>
        <v/>
      </c>
      <c r="AS21" s="85">
        <f t="shared" si="5"/>
        <v>0</v>
      </c>
      <c r="AT21" s="85"/>
      <c r="AU21" s="85">
        <f t="shared" si="2"/>
        <v>0</v>
      </c>
      <c r="AV21" s="85">
        <f t="shared" si="6"/>
        <v>0</v>
      </c>
      <c r="AW21">
        <f t="shared" si="7"/>
        <v>0</v>
      </c>
      <c r="AX21" s="86">
        <f t="shared" si="0"/>
        <v>0</v>
      </c>
      <c r="AY21">
        <f t="shared" si="4"/>
        <v>0</v>
      </c>
      <c r="AZ21"/>
    </row>
    <row r="22" spans="1:53" ht="12" customHeight="1" thickBot="1">
      <c r="A22" s="14"/>
      <c r="B22" s="14"/>
      <c r="C22" s="14"/>
      <c r="D22" s="14"/>
      <c r="E22" s="6"/>
      <c r="F22" s="368"/>
      <c r="G22" s="33" t="s">
        <v>32</v>
      </c>
      <c r="H22" s="34"/>
      <c r="I22" s="35" t="e">
        <f>T10</f>
        <v>#DIV/0!</v>
      </c>
      <c r="J22" s="36"/>
      <c r="K22" s="36"/>
      <c r="L22" s="36"/>
      <c r="M22" s="36"/>
      <c r="N22" s="37"/>
      <c r="O22" s="36"/>
      <c r="P22" s="6"/>
      <c r="Q22" s="193"/>
      <c r="R22" s="309"/>
      <c r="S22" s="383"/>
      <c r="T22" s="97"/>
      <c r="U22" s="379"/>
      <c r="V22" s="379"/>
      <c r="W22" s="380"/>
      <c r="X22" s="14"/>
      <c r="Y22" s="83"/>
      <c r="Z22" s="14"/>
      <c r="AA22" s="14"/>
      <c r="AB22" s="14"/>
      <c r="AC22" s="14"/>
      <c r="AD22" s="14"/>
      <c r="AE22" s="14"/>
      <c r="AF22" s="14"/>
      <c r="AG22" s="14"/>
      <c r="AH22" s="14"/>
      <c r="AI22" s="14"/>
      <c r="AJ22" s="14"/>
      <c r="AK22" s="14"/>
      <c r="AL22" s="14"/>
      <c r="AM22" s="14"/>
      <c r="AN22" s="14"/>
      <c r="AO22" s="14"/>
      <c r="AP22" s="14"/>
      <c r="AR22" t="str">
        <f t="shared" si="1"/>
        <v/>
      </c>
      <c r="AS22" s="85">
        <f t="shared" si="5"/>
        <v>0</v>
      </c>
      <c r="AT22" s="85"/>
      <c r="AU22" s="85">
        <f t="shared" si="2"/>
        <v>0</v>
      </c>
      <c r="AV22" s="85">
        <f t="shared" si="6"/>
        <v>0</v>
      </c>
      <c r="AW22">
        <f t="shared" si="7"/>
        <v>0</v>
      </c>
      <c r="AX22" s="86">
        <f t="shared" si="0"/>
        <v>0</v>
      </c>
      <c r="AY22">
        <f t="shared" si="4"/>
        <v>0</v>
      </c>
      <c r="AZ22"/>
    </row>
    <row r="23" spans="1:53" ht="10.75" customHeight="1">
      <c r="A23" s="14"/>
      <c r="B23" s="313" t="s">
        <v>234</v>
      </c>
      <c r="C23" s="349"/>
      <c r="D23" s="349"/>
      <c r="E23" s="349"/>
      <c r="F23" s="368"/>
      <c r="G23" s="33" t="s">
        <v>210</v>
      </c>
      <c r="H23" s="34"/>
      <c r="I23" s="35">
        <f>T11</f>
        <v>2.4026929541850765E-2</v>
      </c>
      <c r="J23" s="36"/>
      <c r="K23" s="36"/>
      <c r="L23" s="36"/>
      <c r="M23" s="36"/>
      <c r="N23" s="37"/>
      <c r="O23" s="36"/>
      <c r="P23" s="6"/>
      <c r="Q23" s="181"/>
      <c r="R23" s="84" t="s">
        <v>44</v>
      </c>
      <c r="S23" s="46" t="e">
        <f>W24/W23</f>
        <v>#DIV/0!</v>
      </c>
      <c r="T23" s="98"/>
      <c r="U23" s="45" t="s">
        <v>38</v>
      </c>
      <c r="V23" s="45"/>
      <c r="W23" s="47">
        <f>(R36/S36)*T5</f>
        <v>0</v>
      </c>
      <c r="X23" s="14"/>
      <c r="Y23" s="83"/>
      <c r="Z23" s="14"/>
      <c r="AA23" s="14"/>
      <c r="AB23" s="14"/>
      <c r="AC23" s="14"/>
      <c r="AD23" s="14"/>
      <c r="AE23" s="14"/>
      <c r="AF23" s="14"/>
      <c r="AG23" s="14"/>
      <c r="AH23" s="14"/>
      <c r="AI23" s="14"/>
      <c r="AJ23" s="14"/>
      <c r="AK23" s="14"/>
      <c r="AL23" s="14"/>
      <c r="AM23" s="14"/>
      <c r="AN23" s="14"/>
      <c r="AO23" s="14"/>
      <c r="AP23" s="14"/>
      <c r="AR23" t="str">
        <f t="shared" si="1"/>
        <v/>
      </c>
      <c r="AS23" s="85">
        <f t="shared" si="5"/>
        <v>0</v>
      </c>
      <c r="AT23" s="85"/>
      <c r="AU23" s="85">
        <f t="shared" si="2"/>
        <v>0</v>
      </c>
      <c r="AV23" s="85">
        <f t="shared" si="6"/>
        <v>0</v>
      </c>
      <c r="AW23">
        <f t="shared" si="7"/>
        <v>0</v>
      </c>
      <c r="AX23" s="86">
        <f t="shared" si="0"/>
        <v>0</v>
      </c>
      <c r="AY23">
        <f t="shared" si="4"/>
        <v>0</v>
      </c>
      <c r="AZ23"/>
    </row>
    <row r="24" spans="1:53" ht="12.5" customHeight="1" thickBot="1">
      <c r="A24" s="14"/>
      <c r="B24" s="350"/>
      <c r="C24" s="351"/>
      <c r="D24" s="351"/>
      <c r="E24" s="351"/>
      <c r="F24" s="368"/>
      <c r="G24" s="33" t="s">
        <v>14</v>
      </c>
      <c r="H24" s="34"/>
      <c r="I24" s="35" t="e">
        <f>Jake!V19</f>
        <v>#DIV/0!</v>
      </c>
      <c r="J24" s="36"/>
      <c r="K24" s="36"/>
      <c r="L24" s="36"/>
      <c r="M24" s="36"/>
      <c r="N24" s="37"/>
      <c r="O24" s="36"/>
      <c r="P24" s="6"/>
      <c r="Q24" s="193"/>
      <c r="R24" s="84" t="s">
        <v>32</v>
      </c>
      <c r="S24" s="46" t="e">
        <f>W25/W23</f>
        <v>#DIV/0!</v>
      </c>
      <c r="T24" s="98"/>
      <c r="U24" s="45" t="s">
        <v>39</v>
      </c>
      <c r="V24" s="45"/>
      <c r="W24" s="47" t="e">
        <f>T9*R36</f>
        <v>#DIV/0!</v>
      </c>
      <c r="X24" s="14"/>
      <c r="Y24" s="6"/>
      <c r="Z24" s="14"/>
      <c r="AA24" s="14"/>
      <c r="AB24" s="14"/>
      <c r="AC24" s="14"/>
      <c r="AD24" s="14"/>
      <c r="AE24" s="14"/>
      <c r="AF24" s="14"/>
      <c r="AG24" s="14"/>
      <c r="AH24" s="14"/>
      <c r="AI24" s="14"/>
      <c r="AJ24" s="14"/>
      <c r="AK24" s="14"/>
      <c r="AL24" s="14"/>
      <c r="AM24" s="14"/>
      <c r="AN24" s="14"/>
      <c r="AO24" s="14"/>
      <c r="AP24" s="14"/>
      <c r="AR24" t="str">
        <f t="shared" si="1"/>
        <v/>
      </c>
      <c r="AS24" s="85">
        <f t="shared" si="5"/>
        <v>0</v>
      </c>
      <c r="AT24" s="85"/>
      <c r="AU24" s="85">
        <f t="shared" si="2"/>
        <v>0</v>
      </c>
      <c r="AV24" s="85">
        <f t="shared" si="6"/>
        <v>0</v>
      </c>
      <c r="AW24">
        <f>IF(ISNUMBER(AR25),SUM(AT24:AU24),SUM(AT24:AV24))</f>
        <v>0</v>
      </c>
      <c r="AX24" s="86">
        <f t="shared" si="0"/>
        <v>0</v>
      </c>
      <c r="AY24">
        <f t="shared" si="4"/>
        <v>0</v>
      </c>
      <c r="AZ24"/>
    </row>
    <row r="25" spans="1:53" ht="14.5" customHeight="1">
      <c r="A25" s="14"/>
      <c r="B25" s="350"/>
      <c r="C25" s="351"/>
      <c r="D25" s="351"/>
      <c r="E25" s="351"/>
      <c r="F25" s="38" t="s">
        <v>48</v>
      </c>
      <c r="G25" s="39"/>
      <c r="H25" s="39"/>
      <c r="I25" s="40" t="e">
        <f>Jake!V19*J36</f>
        <v>#DIV/0!</v>
      </c>
      <c r="J25" s="36"/>
      <c r="K25" s="36"/>
      <c r="L25" s="36"/>
      <c r="M25" s="36"/>
      <c r="N25" s="37"/>
      <c r="O25" s="36"/>
      <c r="P25" s="6"/>
      <c r="Q25" s="372" t="s">
        <v>235</v>
      </c>
      <c r="R25" s="84" t="s">
        <v>210</v>
      </c>
      <c r="S25" s="46" t="e">
        <f>W27/W23</f>
        <v>#DIV/0!</v>
      </c>
      <c r="T25" s="22"/>
      <c r="U25" s="45" t="s">
        <v>32</v>
      </c>
      <c r="V25" s="45"/>
      <c r="W25" s="47" t="e">
        <f>T10*R36</f>
        <v>#DIV/0!</v>
      </c>
      <c r="X25" s="6"/>
      <c r="Y25" s="6"/>
      <c r="Z25" s="14"/>
      <c r="AA25" s="14"/>
      <c r="AB25" s="14"/>
      <c r="AC25" s="14"/>
      <c r="AD25" s="14"/>
      <c r="AE25" s="14"/>
      <c r="AF25" s="14"/>
      <c r="AG25" s="14"/>
      <c r="AH25" s="14"/>
      <c r="AI25" s="14"/>
      <c r="AJ25" s="14"/>
      <c r="AK25" s="14"/>
      <c r="AL25" s="14"/>
      <c r="AM25" s="14"/>
      <c r="AN25" s="14"/>
      <c r="AO25" s="14"/>
      <c r="AP25" s="14"/>
      <c r="AR25" t="str">
        <f>IF(AR24&lt;$D$14,AR24+1,"")</f>
        <v/>
      </c>
      <c r="AS25" s="85">
        <f>IF(ISNUMBER(AR25),AV24,0)</f>
        <v>0</v>
      </c>
      <c r="AT25" s="85"/>
      <c r="AU25" s="85">
        <f t="shared" si="2"/>
        <v>0</v>
      </c>
      <c r="AV25" s="85">
        <f t="shared" si="6"/>
        <v>0</v>
      </c>
      <c r="AW25">
        <f t="shared" si="7"/>
        <v>0</v>
      </c>
      <c r="AX25" s="86">
        <f t="shared" si="0"/>
        <v>0</v>
      </c>
      <c r="AY25">
        <f t="shared" si="4"/>
        <v>0</v>
      </c>
      <c r="AZ25"/>
    </row>
    <row r="26" spans="1:53" ht="12" customHeight="1" thickBot="1">
      <c r="A26" s="14"/>
      <c r="B26" s="315"/>
      <c r="C26" s="352"/>
      <c r="D26" s="352"/>
      <c r="E26" s="352"/>
      <c r="F26" s="15"/>
      <c r="G26" s="6"/>
      <c r="H26" s="6"/>
      <c r="I26" s="6"/>
      <c r="J26" s="6"/>
      <c r="K26" s="6"/>
      <c r="L26" s="6"/>
      <c r="M26" s="6"/>
      <c r="N26" s="12"/>
      <c r="O26" s="36"/>
      <c r="P26" s="6"/>
      <c r="Q26" s="373"/>
      <c r="R26" s="15"/>
      <c r="S26" s="6"/>
      <c r="T26" s="6"/>
      <c r="U26" s="45" t="s">
        <v>14</v>
      </c>
      <c r="V26" s="45"/>
      <c r="W26" s="47" t="e">
        <f>V19*R36</f>
        <v>#DIV/0!</v>
      </c>
      <c r="X26" s="14"/>
      <c r="Y26" s="14"/>
      <c r="Z26" s="14"/>
      <c r="AA26" s="14"/>
      <c r="AB26" s="14"/>
      <c r="AC26" s="14"/>
      <c r="AD26" s="14"/>
      <c r="AE26" s="14"/>
      <c r="AF26" s="14"/>
      <c r="AG26" s="14"/>
      <c r="AH26" s="14"/>
      <c r="AI26" s="14"/>
      <c r="AJ26" s="14"/>
      <c r="AK26" s="14"/>
      <c r="AL26" s="14"/>
      <c r="AM26" s="14"/>
      <c r="AN26" s="14"/>
      <c r="AO26" s="14"/>
      <c r="AP26" s="14"/>
      <c r="AR26" t="str">
        <f t="shared" si="1"/>
        <v/>
      </c>
      <c r="AS26" s="85">
        <f t="shared" si="5"/>
        <v>0</v>
      </c>
      <c r="AT26" s="85"/>
      <c r="AU26" s="85">
        <f t="shared" si="2"/>
        <v>0</v>
      </c>
      <c r="AV26" s="85">
        <f t="shared" si="6"/>
        <v>0</v>
      </c>
      <c r="AW26">
        <f t="shared" si="7"/>
        <v>0</v>
      </c>
      <c r="AX26" s="86">
        <f t="shared" si="0"/>
        <v>0</v>
      </c>
      <c r="AY26">
        <f t="shared" si="4"/>
        <v>0</v>
      </c>
      <c r="AZ26"/>
    </row>
    <row r="27" spans="1:53" ht="12.5" customHeight="1">
      <c r="A27" s="14"/>
      <c r="B27" s="14"/>
      <c r="C27" s="14"/>
      <c r="D27" s="14"/>
      <c r="E27" s="6"/>
      <c r="F27" s="41" t="s">
        <v>41</v>
      </c>
      <c r="G27" s="42" t="e">
        <f>I21/I24</f>
        <v>#DIV/0!</v>
      </c>
      <c r="H27" s="43" t="s">
        <v>42</v>
      </c>
      <c r="I27" s="39"/>
      <c r="J27" s="39"/>
      <c r="K27" s="39"/>
      <c r="L27" s="39"/>
      <c r="M27" s="39"/>
      <c r="N27" s="44"/>
      <c r="O27" s="36"/>
      <c r="P27" s="6"/>
      <c r="Q27" s="373"/>
      <c r="R27" s="15"/>
      <c r="S27" s="6"/>
      <c r="T27" s="6"/>
      <c r="U27" s="45" t="s">
        <v>210</v>
      </c>
      <c r="V27" s="45"/>
      <c r="W27" s="47">
        <f>T11*R36</f>
        <v>80.179305496928507</v>
      </c>
      <c r="X27" s="14"/>
      <c r="Y27" s="14"/>
      <c r="Z27" s="14"/>
      <c r="AA27" s="14"/>
      <c r="AB27" s="14"/>
      <c r="AC27" s="14"/>
      <c r="AD27" s="14"/>
      <c r="AE27" s="14"/>
      <c r="AF27" s="14"/>
      <c r="AG27" s="14"/>
      <c r="AH27" s="14"/>
      <c r="AI27" s="14"/>
      <c r="AJ27" s="14"/>
      <c r="AK27" s="14"/>
      <c r="AL27" s="14"/>
      <c r="AM27" s="14"/>
      <c r="AN27" s="14"/>
      <c r="AO27" s="14"/>
      <c r="AP27" s="14"/>
      <c r="AR27" t="str">
        <f t="shared" si="1"/>
        <v/>
      </c>
      <c r="AS27" s="85">
        <f t="shared" si="5"/>
        <v>0</v>
      </c>
      <c r="AT27" s="85"/>
      <c r="AU27" s="85">
        <f t="shared" si="2"/>
        <v>0</v>
      </c>
      <c r="AV27" s="85">
        <f t="shared" si="6"/>
        <v>0</v>
      </c>
      <c r="AW27">
        <f t="shared" si="7"/>
        <v>0</v>
      </c>
      <c r="AX27" s="86">
        <f t="shared" si="0"/>
        <v>0</v>
      </c>
      <c r="AY27">
        <f t="shared" si="4"/>
        <v>0</v>
      </c>
      <c r="AZ27" s="117"/>
      <c r="BA27" s="14"/>
    </row>
    <row r="28" spans="1:53" s="14" customFormat="1" ht="14.5" customHeight="1" thickBot="1">
      <c r="E28" s="6"/>
      <c r="F28" s="41" t="s">
        <v>43</v>
      </c>
      <c r="G28" s="42" t="e">
        <f>I22/I24</f>
        <v>#DIV/0!</v>
      </c>
      <c r="H28" s="43" t="s">
        <v>42</v>
      </c>
      <c r="I28" s="39"/>
      <c r="J28" s="39"/>
      <c r="K28" s="39"/>
      <c r="L28" s="39"/>
      <c r="M28" s="39"/>
      <c r="N28" s="44"/>
      <c r="O28" s="36"/>
      <c r="P28" s="6"/>
      <c r="Q28" s="374"/>
      <c r="R28" s="15"/>
      <c r="S28" s="6"/>
      <c r="T28" s="6"/>
      <c r="U28" s="6"/>
      <c r="V28" s="6"/>
      <c r="W28" s="12"/>
      <c r="AR28" t="str">
        <f t="shared" si="1"/>
        <v/>
      </c>
      <c r="AS28" s="85">
        <f t="shared" si="5"/>
        <v>0</v>
      </c>
      <c r="AT28" s="85"/>
      <c r="AU28" s="85">
        <f t="shared" si="2"/>
        <v>0</v>
      </c>
      <c r="AV28" s="85">
        <f t="shared" si="6"/>
        <v>0</v>
      </c>
      <c r="AW28">
        <f t="shared" si="7"/>
        <v>0</v>
      </c>
      <c r="AX28" s="86">
        <f t="shared" si="0"/>
        <v>0</v>
      </c>
      <c r="AY28">
        <f t="shared" si="4"/>
        <v>0</v>
      </c>
      <c r="AZ28"/>
      <c r="BA28" s="1"/>
    </row>
    <row r="29" spans="1:53" ht="13.75" customHeight="1">
      <c r="A29" s="14"/>
      <c r="B29" s="14"/>
      <c r="C29" s="14"/>
      <c r="D29" s="14"/>
      <c r="E29" s="6"/>
      <c r="F29" s="41" t="s">
        <v>228</v>
      </c>
      <c r="G29" s="42" t="e">
        <f>I23/I24</f>
        <v>#DIV/0!</v>
      </c>
      <c r="H29" s="43" t="s">
        <v>42</v>
      </c>
      <c r="I29" s="39"/>
      <c r="J29" s="39"/>
      <c r="K29" s="39"/>
      <c r="L29" s="39"/>
      <c r="M29" s="39"/>
      <c r="N29" s="44"/>
      <c r="O29" s="36"/>
      <c r="P29" s="6"/>
      <c r="Q29" s="193"/>
      <c r="R29" s="375" t="s">
        <v>231</v>
      </c>
      <c r="S29" s="376"/>
      <c r="T29" s="376"/>
      <c r="U29" s="376"/>
      <c r="V29" s="376"/>
      <c r="W29" s="100" t="e">
        <f>W24-W23</f>
        <v>#DIV/0!</v>
      </c>
      <c r="X29" s="14"/>
      <c r="Y29" s="14"/>
      <c r="Z29" s="14"/>
      <c r="AA29" s="14"/>
      <c r="AB29" s="14"/>
      <c r="AC29" s="14"/>
      <c r="AD29" s="14"/>
      <c r="AE29" s="14"/>
      <c r="AF29" s="14"/>
      <c r="AG29" s="14"/>
      <c r="AH29" s="14"/>
      <c r="AI29" s="14"/>
      <c r="AJ29" s="14"/>
      <c r="AK29" s="14"/>
      <c r="AL29" s="14"/>
      <c r="AM29" s="14"/>
      <c r="AN29" s="14"/>
      <c r="AO29" s="14"/>
      <c r="AP29" s="14"/>
      <c r="AR29" t="str">
        <f t="shared" si="1"/>
        <v/>
      </c>
      <c r="AS29" s="85">
        <f t="shared" si="5"/>
        <v>0</v>
      </c>
      <c r="AT29" s="85"/>
      <c r="AU29" s="85">
        <f t="shared" si="2"/>
        <v>0</v>
      </c>
      <c r="AV29" s="85">
        <f t="shared" si="6"/>
        <v>0</v>
      </c>
      <c r="AW29">
        <f t="shared" si="7"/>
        <v>0</v>
      </c>
      <c r="AX29" s="86">
        <f t="shared" si="0"/>
        <v>0</v>
      </c>
      <c r="AY29">
        <f t="shared" si="4"/>
        <v>0</v>
      </c>
      <c r="AZ29"/>
    </row>
    <row r="30" spans="1:53" ht="13.25" customHeight="1">
      <c r="A30" s="14"/>
      <c r="B30" s="14"/>
      <c r="C30" s="14"/>
      <c r="D30" s="14"/>
      <c r="E30" s="6"/>
      <c r="F30" s="15"/>
      <c r="G30" s="6"/>
      <c r="H30" s="6"/>
      <c r="I30" s="6"/>
      <c r="J30" s="36"/>
      <c r="K30" s="36"/>
      <c r="L30" s="36"/>
      <c r="M30" s="36"/>
      <c r="N30" s="37"/>
      <c r="O30" s="36"/>
      <c r="P30" s="6"/>
      <c r="Q30" s="193"/>
      <c r="R30" s="375" t="s">
        <v>230</v>
      </c>
      <c r="S30" s="376"/>
      <c r="T30" s="376"/>
      <c r="U30" s="376"/>
      <c r="V30" s="376"/>
      <c r="W30" s="100" t="e">
        <f>W25-W23</f>
        <v>#DIV/0!</v>
      </c>
      <c r="X30" s="14"/>
      <c r="Y30" s="14"/>
      <c r="Z30" s="14"/>
      <c r="AA30" s="14"/>
      <c r="AB30" s="14"/>
      <c r="AC30" s="14"/>
      <c r="AD30" s="14"/>
      <c r="AE30" s="14"/>
      <c r="AF30" s="14"/>
      <c r="AG30" s="14"/>
      <c r="AH30" s="14"/>
      <c r="AI30" s="14"/>
      <c r="AJ30" s="14"/>
      <c r="AK30" s="14"/>
      <c r="AL30" s="14"/>
      <c r="AM30" s="14"/>
      <c r="AN30" s="14"/>
      <c r="AO30" s="14"/>
      <c r="AP30" s="14"/>
      <c r="AR30" t="str">
        <f t="shared" si="1"/>
        <v/>
      </c>
      <c r="AS30" s="85">
        <f t="shared" si="5"/>
        <v>0</v>
      </c>
      <c r="AT30" s="85"/>
      <c r="AU30" s="85">
        <f t="shared" si="2"/>
        <v>0</v>
      </c>
      <c r="AV30" s="85">
        <f t="shared" si="6"/>
        <v>0</v>
      </c>
      <c r="AW30">
        <f>IF(ISNUMBER(AR33),SUM(AT30:AU30),SUM(AT30:AV30))</f>
        <v>0</v>
      </c>
      <c r="AX30" s="86">
        <f t="shared" si="0"/>
        <v>0</v>
      </c>
      <c r="AY30">
        <f t="shared" si="4"/>
        <v>0</v>
      </c>
      <c r="AZ30"/>
    </row>
    <row r="31" spans="1:53" ht="13.25" customHeight="1" thickBot="1">
      <c r="A31" s="14"/>
      <c r="B31" s="14"/>
      <c r="C31" s="14"/>
      <c r="D31" s="14"/>
      <c r="E31" s="6"/>
      <c r="F31" s="368" t="s">
        <v>184</v>
      </c>
      <c r="G31" s="33" t="s">
        <v>33</v>
      </c>
      <c r="H31" s="34"/>
      <c r="I31" s="40" t="e">
        <f>1000/V14</f>
        <v>#DIV/0!</v>
      </c>
      <c r="J31" s="36"/>
      <c r="K31" s="36"/>
      <c r="L31" s="36"/>
      <c r="M31" s="36"/>
      <c r="N31" s="37"/>
      <c r="O31" s="36"/>
      <c r="P31" s="6"/>
      <c r="Q31" s="194"/>
      <c r="R31" s="370" t="s">
        <v>229</v>
      </c>
      <c r="S31" s="371"/>
      <c r="T31" s="371"/>
      <c r="U31" s="371"/>
      <c r="V31" s="371"/>
      <c r="W31" s="101">
        <f>W27-W23</f>
        <v>80.179305496928507</v>
      </c>
      <c r="X31" s="14"/>
      <c r="Y31" s="14"/>
      <c r="Z31" s="14"/>
      <c r="AA31" s="14"/>
      <c r="AB31" s="14"/>
      <c r="AC31" s="14"/>
      <c r="AD31" s="14"/>
      <c r="AE31" s="14"/>
      <c r="AF31" s="14"/>
      <c r="AG31" s="14"/>
      <c r="AH31" s="14"/>
      <c r="AI31" s="14"/>
      <c r="AJ31" s="14"/>
      <c r="AK31" s="14"/>
      <c r="AL31" s="14"/>
      <c r="AM31" s="14"/>
      <c r="AN31" s="14"/>
      <c r="AO31" s="14"/>
      <c r="AP31" s="14"/>
      <c r="AR31"/>
      <c r="AS31" s="85"/>
      <c r="AT31" s="85"/>
      <c r="AU31" s="85"/>
      <c r="AV31" s="85"/>
      <c r="AW31"/>
      <c r="AX31" s="86"/>
      <c r="AY31"/>
      <c r="AZ31"/>
    </row>
    <row r="32" spans="1:53" ht="13.25" customHeight="1">
      <c r="A32" s="14"/>
      <c r="B32" s="14"/>
      <c r="C32" s="14"/>
      <c r="D32" s="14"/>
      <c r="E32" s="6"/>
      <c r="F32" s="368"/>
      <c r="G32" s="33" t="s">
        <v>32</v>
      </c>
      <c r="H32" s="34"/>
      <c r="I32" s="40" t="e">
        <f>1000/V15</f>
        <v>#DIV/0!</v>
      </c>
      <c r="J32" s="36"/>
      <c r="K32" s="36"/>
      <c r="L32" s="36"/>
      <c r="M32" s="36"/>
      <c r="N32" s="37"/>
      <c r="O32" s="36"/>
      <c r="P32" s="6"/>
      <c r="Q32" s="114"/>
      <c r="R32" s="115"/>
      <c r="S32" s="115"/>
      <c r="T32" s="115"/>
      <c r="U32" s="115"/>
      <c r="V32" s="115"/>
      <c r="W32" s="116"/>
      <c r="X32" s="14"/>
      <c r="Y32" s="14"/>
      <c r="Z32" s="14"/>
      <c r="AA32" s="14"/>
      <c r="AB32" s="14"/>
      <c r="AC32" s="14"/>
      <c r="AD32" s="14"/>
      <c r="AE32" s="14"/>
      <c r="AF32" s="14"/>
      <c r="AG32" s="14"/>
      <c r="AH32" s="14"/>
      <c r="AI32" s="14"/>
      <c r="AJ32" s="14"/>
      <c r="AK32" s="14"/>
      <c r="AL32" s="14"/>
      <c r="AM32" s="14"/>
      <c r="AN32" s="14"/>
      <c r="AO32" s="14"/>
      <c r="AP32" s="14"/>
      <c r="AR32"/>
      <c r="AS32" s="85"/>
      <c r="AT32" s="85"/>
      <c r="AU32" s="85"/>
      <c r="AV32" s="85"/>
      <c r="AW32"/>
      <c r="AX32" s="86"/>
      <c r="AY32"/>
      <c r="AZ32"/>
    </row>
    <row r="33" spans="1:52" ht="13.75" customHeight="1" thickBot="1">
      <c r="A33" s="14"/>
      <c r="B33" s="14"/>
      <c r="C33" s="14"/>
      <c r="D33" s="14"/>
      <c r="E33" s="14"/>
      <c r="F33" s="369"/>
      <c r="G33" s="118" t="s">
        <v>210</v>
      </c>
      <c r="H33" s="119"/>
      <c r="I33" s="120">
        <f>1000/V16</f>
        <v>1164.6963503111999</v>
      </c>
      <c r="J33" s="7"/>
      <c r="K33" s="7"/>
      <c r="L33" s="7"/>
      <c r="M33" s="7"/>
      <c r="N33" s="182"/>
      <c r="O33" s="14"/>
      <c r="P33" s="14"/>
      <c r="Q33" s="114"/>
      <c r="R33" s="115"/>
      <c r="S33" s="115"/>
      <c r="T33" s="115"/>
      <c r="U33" s="115"/>
      <c r="V33" s="115"/>
      <c r="W33" s="116"/>
      <c r="X33" s="14"/>
      <c r="Y33" s="14"/>
      <c r="Z33" s="14"/>
      <c r="AA33" s="14"/>
      <c r="AB33" s="14"/>
      <c r="AC33" s="14"/>
      <c r="AD33" s="14"/>
      <c r="AE33" s="14"/>
      <c r="AF33" s="14"/>
      <c r="AG33" s="14"/>
      <c r="AH33" s="14"/>
      <c r="AI33" s="14"/>
      <c r="AJ33" s="14"/>
      <c r="AK33" s="14"/>
      <c r="AL33" s="14"/>
      <c r="AM33" s="14"/>
      <c r="AN33" s="14"/>
      <c r="AO33" s="14"/>
      <c r="AP33" s="14"/>
      <c r="AR33" t="str">
        <f>IF(AR30&lt;$D$14,AR30+1,"")</f>
        <v/>
      </c>
      <c r="AS33" s="85">
        <f>IF(ISNUMBER(AR33),AV30,0)</f>
        <v>0</v>
      </c>
      <c r="AT33" s="85"/>
      <c r="AU33" s="85">
        <f t="shared" si="2"/>
        <v>0</v>
      </c>
      <c r="AV33" s="85">
        <f t="shared" si="6"/>
        <v>0</v>
      </c>
      <c r="AW33">
        <f t="shared" si="7"/>
        <v>0</v>
      </c>
      <c r="AX33" s="86">
        <f>LN(AW33+$J$36)-LN($J$36)</f>
        <v>0</v>
      </c>
      <c r="AY33">
        <f t="shared" si="4"/>
        <v>0</v>
      </c>
    </row>
    <row r="34" spans="1:52" ht="51" customHeight="1" thickBot="1">
      <c r="B34" s="14"/>
      <c r="C34" s="14"/>
      <c r="D34" s="14"/>
      <c r="E34" s="14"/>
      <c r="F34" s="14"/>
      <c r="G34" s="14"/>
      <c r="H34" s="14"/>
      <c r="I34" s="14"/>
      <c r="J34" s="14"/>
      <c r="K34" s="14"/>
      <c r="L34" s="14"/>
      <c r="M34" s="14"/>
      <c r="N34" s="14"/>
      <c r="O34" s="14"/>
      <c r="P34" s="14"/>
      <c r="Q34" s="114"/>
      <c r="R34" s="115"/>
      <c r="S34" s="115"/>
      <c r="T34" s="115"/>
      <c r="U34" s="115"/>
      <c r="V34" s="115"/>
      <c r="W34" s="116"/>
      <c r="X34" s="14"/>
      <c r="Y34" s="14"/>
      <c r="Z34" s="14"/>
      <c r="AA34" s="14"/>
      <c r="AB34" s="14"/>
      <c r="AC34" s="14"/>
      <c r="AD34" s="14"/>
      <c r="AE34" s="14"/>
      <c r="AF34" s="14"/>
      <c r="AG34" s="14"/>
      <c r="AH34" s="14"/>
      <c r="AI34" s="14"/>
      <c r="AJ34" s="14"/>
      <c r="AK34" s="14"/>
      <c r="AL34" s="14"/>
      <c r="AM34" s="14"/>
      <c r="AQ34"/>
      <c r="AR34" t="str">
        <f t="shared" si="1"/>
        <v/>
      </c>
      <c r="AS34" s="85">
        <f t="shared" si="5"/>
        <v>0</v>
      </c>
      <c r="AT34" s="85"/>
      <c r="AU34" s="85">
        <f t="shared" si="2"/>
        <v>0</v>
      </c>
      <c r="AV34" s="85">
        <f t="shared" si="6"/>
        <v>0</v>
      </c>
      <c r="AW34">
        <f t="shared" si="7"/>
        <v>0</v>
      </c>
      <c r="AX34" s="86">
        <f>LN(AW34+$J$36)-LN($J$36)</f>
        <v>0</v>
      </c>
      <c r="AY34">
        <f t="shared" si="4"/>
        <v>0</v>
      </c>
    </row>
    <row r="35" spans="1:52" ht="31.25" customHeight="1">
      <c r="A35" s="14"/>
      <c r="B35" s="327" t="s">
        <v>29</v>
      </c>
      <c r="C35" s="16"/>
      <c r="D35" s="330" t="s">
        <v>24</v>
      </c>
      <c r="E35" s="331"/>
      <c r="F35" s="332"/>
      <c r="G35" s="18" t="s">
        <v>16</v>
      </c>
      <c r="H35" s="341" t="s">
        <v>27</v>
      </c>
      <c r="I35" s="342"/>
      <c r="J35" s="330" t="s">
        <v>26</v>
      </c>
      <c r="K35" s="331"/>
      <c r="L35" s="331"/>
      <c r="M35" s="331"/>
      <c r="N35" s="332"/>
      <c r="O35" s="330" t="s">
        <v>17</v>
      </c>
      <c r="P35" s="332"/>
      <c r="Q35" s="231" t="s">
        <v>18</v>
      </c>
      <c r="R35" s="103" t="s">
        <v>178</v>
      </c>
      <c r="S35" s="213" t="s">
        <v>25</v>
      </c>
      <c r="T35" s="214"/>
      <c r="U35" s="103" t="s">
        <v>172</v>
      </c>
      <c r="V35" s="103" t="s">
        <v>222</v>
      </c>
      <c r="W35" s="111" t="s">
        <v>225</v>
      </c>
      <c r="X35" s="14"/>
      <c r="Y35" s="14"/>
      <c r="Z35" s="14"/>
      <c r="AA35" s="14"/>
      <c r="AB35" s="14"/>
      <c r="AC35" s="14"/>
      <c r="AD35" s="14"/>
      <c r="AE35" s="14"/>
      <c r="AF35" s="14"/>
      <c r="AG35" s="14"/>
      <c r="AH35" s="14"/>
      <c r="AI35" s="14"/>
      <c r="AJ35" s="14"/>
      <c r="AK35" s="14"/>
      <c r="AL35" s="14"/>
      <c r="AM35" s="14"/>
      <c r="AQ35"/>
      <c r="AR35" t="str">
        <f t="shared" si="1"/>
        <v/>
      </c>
      <c r="AS35" s="85">
        <f t="shared" si="5"/>
        <v>0</v>
      </c>
      <c r="AT35" s="85"/>
      <c r="AU35" s="85">
        <f t="shared" si="2"/>
        <v>0</v>
      </c>
      <c r="AV35" s="85">
        <f t="shared" si="6"/>
        <v>0</v>
      </c>
      <c r="AW35">
        <f t="shared" si="7"/>
        <v>0</v>
      </c>
      <c r="AX35" s="86">
        <f>LN(AW35+$J$36)-LN($J$36)</f>
        <v>0</v>
      </c>
      <c r="AY35">
        <f t="shared" si="4"/>
        <v>0</v>
      </c>
      <c r="AZ35"/>
    </row>
    <row r="36" spans="1:52" ht="12" customHeight="1">
      <c r="A36" s="14"/>
      <c r="B36" s="328"/>
      <c r="C36" s="19" t="s">
        <v>20</v>
      </c>
      <c r="D36" s="333">
        <v>0.253</v>
      </c>
      <c r="E36" s="334"/>
      <c r="F36" s="335"/>
      <c r="G36" s="26">
        <v>2.41</v>
      </c>
      <c r="H36" s="336">
        <v>4.7</v>
      </c>
      <c r="I36" s="337"/>
      <c r="J36" s="338">
        <v>285.92</v>
      </c>
      <c r="K36" s="339"/>
      <c r="L36" s="339"/>
      <c r="M36" s="339"/>
      <c r="N36" s="340"/>
      <c r="O36" s="385">
        <v>1000</v>
      </c>
      <c r="P36" s="386"/>
      <c r="Q36" s="102">
        <v>288</v>
      </c>
      <c r="R36" s="104">
        <v>3337.06</v>
      </c>
      <c r="S36" s="204">
        <v>6.32</v>
      </c>
      <c r="T36" s="232"/>
      <c r="U36" s="185">
        <f>AVERAGE(36.46,36.59)</f>
        <v>36.525000000000006</v>
      </c>
      <c r="V36" s="185">
        <v>15</v>
      </c>
      <c r="W36" s="173">
        <v>0.43099999999999999</v>
      </c>
      <c r="X36" s="14"/>
      <c r="Y36" s="6"/>
      <c r="Z36" s="14"/>
      <c r="AA36" s="14"/>
      <c r="AB36" s="14"/>
      <c r="AC36" s="14"/>
      <c r="AD36" s="14"/>
      <c r="AE36" s="14"/>
      <c r="AF36" s="14"/>
      <c r="AG36" s="14"/>
      <c r="AH36" s="14"/>
      <c r="AI36" s="14"/>
      <c r="AJ36" s="14"/>
      <c r="AK36" s="14"/>
      <c r="AL36" s="14"/>
      <c r="AM36" s="14"/>
      <c r="AN36" s="14"/>
      <c r="AR36" t="str">
        <f t="shared" si="1"/>
        <v/>
      </c>
      <c r="AS36" s="85">
        <f t="shared" si="5"/>
        <v>0</v>
      </c>
      <c r="AT36" s="85"/>
      <c r="AU36" s="85">
        <f t="shared" si="2"/>
        <v>0</v>
      </c>
      <c r="AV36" s="85">
        <f t="shared" si="6"/>
        <v>0</v>
      </c>
      <c r="AW36">
        <f t="shared" si="7"/>
        <v>0</v>
      </c>
      <c r="AX36" s="86">
        <f>LN(AW36+$J$36)-LN($J$36)</f>
        <v>0</v>
      </c>
      <c r="AY36">
        <f t="shared" si="4"/>
        <v>0</v>
      </c>
      <c r="AZ36"/>
    </row>
    <row r="37" spans="1:52" ht="12" customHeight="1" thickBot="1">
      <c r="A37" s="14"/>
      <c r="B37" s="329"/>
      <c r="C37" s="20" t="s">
        <v>21</v>
      </c>
      <c r="D37" s="394" t="s">
        <v>22</v>
      </c>
      <c r="E37" s="394"/>
      <c r="F37" s="394"/>
      <c r="G37" s="393" t="s">
        <v>23</v>
      </c>
      <c r="H37" s="393"/>
      <c r="I37" s="393"/>
      <c r="J37" s="393"/>
      <c r="K37" s="393"/>
      <c r="L37" s="393"/>
      <c r="M37" s="393"/>
      <c r="N37" s="393"/>
      <c r="O37" s="393"/>
      <c r="P37" s="393"/>
      <c r="Q37" s="393"/>
      <c r="R37" s="364" t="s">
        <v>140</v>
      </c>
      <c r="S37" s="365"/>
      <c r="T37" s="366"/>
      <c r="U37" s="186" t="s">
        <v>185</v>
      </c>
      <c r="V37" s="187" t="s">
        <v>223</v>
      </c>
      <c r="W37" s="188" t="s">
        <v>307</v>
      </c>
      <c r="X37" s="14"/>
      <c r="Y37" s="6"/>
      <c r="Z37" s="14"/>
      <c r="AA37" s="14"/>
      <c r="AB37" s="14"/>
      <c r="AC37" s="14"/>
      <c r="AD37" s="14"/>
      <c r="AE37" s="14"/>
      <c r="AF37" s="14"/>
      <c r="AG37" s="14"/>
      <c r="AH37" s="14"/>
      <c r="AI37" s="14"/>
      <c r="AJ37" s="14"/>
      <c r="AK37" s="14"/>
      <c r="AL37" s="14"/>
      <c r="AM37" s="14"/>
      <c r="AN37" s="14"/>
      <c r="AO37" s="14"/>
      <c r="AP37" s="14"/>
      <c r="AR37" t="str">
        <f t="shared" si="1"/>
        <v/>
      </c>
      <c r="AS37" s="85">
        <f t="shared" si="5"/>
        <v>0</v>
      </c>
      <c r="AT37" s="85"/>
      <c r="AU37" s="85">
        <f t="shared" si="2"/>
        <v>0</v>
      </c>
      <c r="AV37" s="85">
        <f t="shared" si="6"/>
        <v>0</v>
      </c>
      <c r="AW37">
        <f t="shared" si="7"/>
        <v>0</v>
      </c>
      <c r="AX37" s="86">
        <f>LN(AW37+$J$36)-LN($J$36)</f>
        <v>0</v>
      </c>
      <c r="AY37">
        <f t="shared" si="4"/>
        <v>0</v>
      </c>
      <c r="AZ37"/>
    </row>
    <row r="38" spans="1:52" s="14" customFormat="1" ht="14">
      <c r="J38" s="148"/>
      <c r="K38" s="148"/>
      <c r="L38" s="148"/>
      <c r="M38" s="148"/>
      <c r="Y38" s="6"/>
      <c r="AR38" s="117" t="str">
        <f t="shared" si="1"/>
        <v/>
      </c>
      <c r="AS38" s="183">
        <f t="shared" si="5"/>
        <v>0</v>
      </c>
      <c r="AT38" s="183"/>
      <c r="AU38" s="183">
        <f t="shared" si="2"/>
        <v>0</v>
      </c>
      <c r="AV38" s="183">
        <f t="shared" si="6"/>
        <v>0</v>
      </c>
      <c r="AW38" s="117">
        <f t="shared" si="7"/>
        <v>0</v>
      </c>
      <c r="AX38" s="184">
        <f t="shared" ref="AX38:AX101" si="8">LN(AW38+$J$36)-LN($J$36)</f>
        <v>0</v>
      </c>
      <c r="AY38" s="117">
        <f t="shared" si="4"/>
        <v>0</v>
      </c>
      <c r="AZ38" s="117"/>
    </row>
    <row r="39" spans="1:52" s="14" customFormat="1" ht="14">
      <c r="AR39" s="117" t="str">
        <f t="shared" si="1"/>
        <v/>
      </c>
      <c r="AS39" s="183">
        <f t="shared" si="5"/>
        <v>0</v>
      </c>
      <c r="AT39" s="183"/>
      <c r="AU39" s="183">
        <f t="shared" si="2"/>
        <v>0</v>
      </c>
      <c r="AV39" s="183">
        <f t="shared" si="6"/>
        <v>0</v>
      </c>
      <c r="AW39" s="117">
        <f t="shared" si="7"/>
        <v>0</v>
      </c>
      <c r="AX39" s="184">
        <f t="shared" si="8"/>
        <v>0</v>
      </c>
      <c r="AY39" s="117">
        <f t="shared" si="4"/>
        <v>0</v>
      </c>
      <c r="AZ39" s="117"/>
    </row>
    <row r="40" spans="1:52" s="14" customFormat="1" ht="14">
      <c r="AR40" s="117" t="str">
        <f t="shared" si="1"/>
        <v/>
      </c>
      <c r="AS40" s="183">
        <f t="shared" si="5"/>
        <v>0</v>
      </c>
      <c r="AT40" s="183"/>
      <c r="AU40" s="183">
        <f t="shared" si="2"/>
        <v>0</v>
      </c>
      <c r="AV40" s="183">
        <f t="shared" si="6"/>
        <v>0</v>
      </c>
      <c r="AW40" s="117">
        <f t="shared" si="7"/>
        <v>0</v>
      </c>
      <c r="AX40" s="184">
        <f t="shared" si="8"/>
        <v>0</v>
      </c>
      <c r="AY40" s="117">
        <f t="shared" si="4"/>
        <v>0</v>
      </c>
      <c r="AZ40" s="117"/>
    </row>
    <row r="41" spans="1:52" s="14" customFormat="1" ht="14">
      <c r="AR41" s="117" t="str">
        <f t="shared" si="1"/>
        <v/>
      </c>
      <c r="AS41" s="183">
        <f t="shared" si="5"/>
        <v>0</v>
      </c>
      <c r="AT41" s="183"/>
      <c r="AU41" s="183">
        <f t="shared" si="2"/>
        <v>0</v>
      </c>
      <c r="AV41" s="183">
        <f t="shared" si="6"/>
        <v>0</v>
      </c>
      <c r="AW41" s="117">
        <f t="shared" si="7"/>
        <v>0</v>
      </c>
      <c r="AX41" s="184">
        <f t="shared" si="8"/>
        <v>0</v>
      </c>
      <c r="AY41" s="117">
        <f t="shared" si="4"/>
        <v>0</v>
      </c>
      <c r="AZ41" s="117"/>
    </row>
    <row r="42" spans="1:52" s="14" customFormat="1" ht="14">
      <c r="AR42" s="117" t="str">
        <f t="shared" si="1"/>
        <v/>
      </c>
      <c r="AS42" s="183">
        <f t="shared" si="5"/>
        <v>0</v>
      </c>
      <c r="AT42" s="183"/>
      <c r="AU42" s="183">
        <f t="shared" si="2"/>
        <v>0</v>
      </c>
      <c r="AV42" s="183">
        <f t="shared" si="6"/>
        <v>0</v>
      </c>
      <c r="AW42" s="117">
        <f t="shared" si="7"/>
        <v>0</v>
      </c>
      <c r="AX42" s="184">
        <f t="shared" si="8"/>
        <v>0</v>
      </c>
      <c r="AY42" s="117">
        <f t="shared" si="4"/>
        <v>0</v>
      </c>
      <c r="AZ42" s="117"/>
    </row>
    <row r="43" spans="1:52" s="14" customFormat="1" ht="14">
      <c r="AR43" s="117" t="str">
        <f t="shared" si="1"/>
        <v/>
      </c>
      <c r="AS43" s="183">
        <f t="shared" si="5"/>
        <v>0</v>
      </c>
      <c r="AT43" s="183"/>
      <c r="AU43" s="183">
        <f t="shared" si="2"/>
        <v>0</v>
      </c>
      <c r="AV43" s="183">
        <f t="shared" si="6"/>
        <v>0</v>
      </c>
      <c r="AW43" s="117">
        <f t="shared" si="7"/>
        <v>0</v>
      </c>
      <c r="AX43" s="184">
        <f t="shared" si="8"/>
        <v>0</v>
      </c>
      <c r="AY43" s="117">
        <f t="shared" si="4"/>
        <v>0</v>
      </c>
      <c r="AZ43" s="117"/>
    </row>
    <row r="44" spans="1:52" s="14" customFormat="1" ht="14">
      <c r="AR44" s="117" t="str">
        <f t="shared" si="1"/>
        <v/>
      </c>
      <c r="AS44" s="183">
        <f t="shared" si="5"/>
        <v>0</v>
      </c>
      <c r="AT44" s="183"/>
      <c r="AU44" s="183">
        <f t="shared" si="2"/>
        <v>0</v>
      </c>
      <c r="AV44" s="183">
        <f t="shared" si="6"/>
        <v>0</v>
      </c>
      <c r="AW44" s="117">
        <f t="shared" si="7"/>
        <v>0</v>
      </c>
      <c r="AX44" s="184">
        <f t="shared" si="8"/>
        <v>0</v>
      </c>
      <c r="AY44" s="117">
        <f t="shared" si="4"/>
        <v>0</v>
      </c>
      <c r="AZ44" s="117"/>
    </row>
    <row r="45" spans="1:52" s="14" customFormat="1" ht="14">
      <c r="AR45" s="117" t="str">
        <f t="shared" si="1"/>
        <v/>
      </c>
      <c r="AS45" s="183">
        <f t="shared" si="5"/>
        <v>0</v>
      </c>
      <c r="AT45" s="183"/>
      <c r="AU45" s="183">
        <f t="shared" si="2"/>
        <v>0</v>
      </c>
      <c r="AV45" s="183">
        <f t="shared" si="6"/>
        <v>0</v>
      </c>
      <c r="AW45" s="117">
        <f t="shared" si="7"/>
        <v>0</v>
      </c>
      <c r="AX45" s="184">
        <f t="shared" si="8"/>
        <v>0</v>
      </c>
      <c r="AY45" s="117">
        <f t="shared" si="4"/>
        <v>0</v>
      </c>
      <c r="AZ45" s="117"/>
    </row>
    <row r="46" spans="1:52" s="14" customFormat="1" ht="14">
      <c r="AR46" s="117" t="str">
        <f t="shared" si="1"/>
        <v/>
      </c>
      <c r="AS46" s="183">
        <f t="shared" si="5"/>
        <v>0</v>
      </c>
      <c r="AT46" s="183"/>
      <c r="AU46" s="183">
        <f t="shared" si="2"/>
        <v>0</v>
      </c>
      <c r="AV46" s="183">
        <f t="shared" si="6"/>
        <v>0</v>
      </c>
      <c r="AW46" s="117">
        <f t="shared" si="7"/>
        <v>0</v>
      </c>
      <c r="AX46" s="184">
        <f t="shared" si="8"/>
        <v>0</v>
      </c>
      <c r="AY46" s="117">
        <f t="shared" si="4"/>
        <v>0</v>
      </c>
      <c r="AZ46" s="117"/>
    </row>
    <row r="47" spans="1:52" s="14" customFormat="1" ht="14">
      <c r="AR47" s="117" t="str">
        <f t="shared" si="1"/>
        <v/>
      </c>
      <c r="AS47" s="183">
        <f t="shared" si="5"/>
        <v>0</v>
      </c>
      <c r="AT47" s="183"/>
      <c r="AU47" s="183">
        <f t="shared" si="2"/>
        <v>0</v>
      </c>
      <c r="AV47" s="183">
        <f t="shared" si="6"/>
        <v>0</v>
      </c>
      <c r="AW47" s="117">
        <f t="shared" si="7"/>
        <v>0</v>
      </c>
      <c r="AX47" s="184">
        <f t="shared" si="8"/>
        <v>0</v>
      </c>
      <c r="AY47" s="117">
        <f t="shared" si="4"/>
        <v>0</v>
      </c>
      <c r="AZ47" s="117"/>
    </row>
    <row r="48" spans="1:52" s="14" customFormat="1" ht="14">
      <c r="AR48" s="117" t="str">
        <f t="shared" si="1"/>
        <v/>
      </c>
      <c r="AS48" s="183">
        <f t="shared" si="5"/>
        <v>0</v>
      </c>
      <c r="AT48" s="183"/>
      <c r="AU48" s="183">
        <f t="shared" si="2"/>
        <v>0</v>
      </c>
      <c r="AV48" s="183">
        <f t="shared" si="6"/>
        <v>0</v>
      </c>
      <c r="AW48" s="117">
        <f t="shared" si="7"/>
        <v>0</v>
      </c>
      <c r="AX48" s="184">
        <f t="shared" si="8"/>
        <v>0</v>
      </c>
      <c r="AY48" s="117">
        <f t="shared" si="4"/>
        <v>0</v>
      </c>
      <c r="AZ48" s="117"/>
    </row>
    <row r="49" spans="44:52" s="14" customFormat="1" ht="14">
      <c r="AR49" s="117" t="str">
        <f t="shared" si="1"/>
        <v/>
      </c>
      <c r="AS49" s="183">
        <f t="shared" si="5"/>
        <v>0</v>
      </c>
      <c r="AT49" s="183"/>
      <c r="AU49" s="183">
        <f t="shared" si="2"/>
        <v>0</v>
      </c>
      <c r="AV49" s="183">
        <f t="shared" si="6"/>
        <v>0</v>
      </c>
      <c r="AW49" s="117">
        <f t="shared" si="7"/>
        <v>0</v>
      </c>
      <c r="AX49" s="184">
        <f t="shared" si="8"/>
        <v>0</v>
      </c>
      <c r="AY49" s="117">
        <f t="shared" si="4"/>
        <v>0</v>
      </c>
      <c r="AZ49" s="117"/>
    </row>
    <row r="50" spans="44:52" s="14" customFormat="1" ht="14">
      <c r="AR50" s="117" t="str">
        <f t="shared" si="1"/>
        <v/>
      </c>
      <c r="AS50" s="183">
        <f t="shared" si="5"/>
        <v>0</v>
      </c>
      <c r="AT50" s="183"/>
      <c r="AU50" s="183">
        <f t="shared" si="2"/>
        <v>0</v>
      </c>
      <c r="AV50" s="183">
        <f t="shared" si="6"/>
        <v>0</v>
      </c>
      <c r="AW50" s="117">
        <f t="shared" si="7"/>
        <v>0</v>
      </c>
      <c r="AX50" s="184">
        <f t="shared" si="8"/>
        <v>0</v>
      </c>
      <c r="AY50" s="117">
        <f t="shared" si="4"/>
        <v>0</v>
      </c>
      <c r="AZ50" s="117"/>
    </row>
    <row r="51" spans="44:52" s="14" customFormat="1" ht="14">
      <c r="AR51" s="117" t="str">
        <f t="shared" si="1"/>
        <v/>
      </c>
      <c r="AS51" s="183">
        <f t="shared" si="5"/>
        <v>0</v>
      </c>
      <c r="AT51" s="183"/>
      <c r="AU51" s="183">
        <f t="shared" si="2"/>
        <v>0</v>
      </c>
      <c r="AV51" s="183">
        <f t="shared" si="6"/>
        <v>0</v>
      </c>
      <c r="AW51" s="117">
        <f t="shared" si="7"/>
        <v>0</v>
      </c>
      <c r="AX51" s="184">
        <f t="shared" si="8"/>
        <v>0</v>
      </c>
      <c r="AY51" s="117">
        <f t="shared" si="4"/>
        <v>0</v>
      </c>
      <c r="AZ51" s="117"/>
    </row>
    <row r="52" spans="44:52" s="14" customFormat="1" ht="14">
      <c r="AR52" s="117" t="str">
        <f t="shared" si="1"/>
        <v/>
      </c>
      <c r="AS52" s="183">
        <f t="shared" si="5"/>
        <v>0</v>
      </c>
      <c r="AT52" s="183"/>
      <c r="AU52" s="183">
        <f t="shared" si="2"/>
        <v>0</v>
      </c>
      <c r="AV52" s="183">
        <f t="shared" si="6"/>
        <v>0</v>
      </c>
      <c r="AW52" s="117">
        <f t="shared" si="7"/>
        <v>0</v>
      </c>
      <c r="AX52" s="184">
        <f t="shared" si="8"/>
        <v>0</v>
      </c>
      <c r="AY52" s="117">
        <f t="shared" si="4"/>
        <v>0</v>
      </c>
      <c r="AZ52" s="117"/>
    </row>
    <row r="53" spans="44:52" s="14" customFormat="1" ht="14">
      <c r="AR53" s="117" t="str">
        <f t="shared" si="1"/>
        <v/>
      </c>
      <c r="AS53" s="183">
        <f t="shared" si="5"/>
        <v>0</v>
      </c>
      <c r="AT53" s="183"/>
      <c r="AU53" s="183">
        <f t="shared" si="2"/>
        <v>0</v>
      </c>
      <c r="AV53" s="183">
        <f t="shared" si="6"/>
        <v>0</v>
      </c>
      <c r="AW53" s="117">
        <f t="shared" si="7"/>
        <v>0</v>
      </c>
      <c r="AX53" s="184">
        <f t="shared" si="8"/>
        <v>0</v>
      </c>
      <c r="AY53" s="117">
        <f t="shared" si="4"/>
        <v>0</v>
      </c>
      <c r="AZ53" s="117"/>
    </row>
    <row r="54" spans="44:52" s="14" customFormat="1" ht="14">
      <c r="AR54" s="117" t="str">
        <f t="shared" si="1"/>
        <v/>
      </c>
      <c r="AS54" s="183">
        <f t="shared" si="5"/>
        <v>0</v>
      </c>
      <c r="AT54" s="183"/>
      <c r="AU54" s="183">
        <f t="shared" si="2"/>
        <v>0</v>
      </c>
      <c r="AV54" s="183">
        <f t="shared" si="6"/>
        <v>0</v>
      </c>
      <c r="AW54" s="117">
        <f t="shared" si="7"/>
        <v>0</v>
      </c>
      <c r="AX54" s="184">
        <f t="shared" si="8"/>
        <v>0</v>
      </c>
      <c r="AY54" s="117">
        <f t="shared" si="4"/>
        <v>0</v>
      </c>
      <c r="AZ54" s="117"/>
    </row>
    <row r="55" spans="44:52" s="14" customFormat="1" ht="14">
      <c r="AR55" s="117" t="str">
        <f t="shared" si="1"/>
        <v/>
      </c>
      <c r="AS55" s="183">
        <f t="shared" si="5"/>
        <v>0</v>
      </c>
      <c r="AT55" s="183"/>
      <c r="AU55" s="183">
        <f t="shared" si="2"/>
        <v>0</v>
      </c>
      <c r="AV55" s="183">
        <f t="shared" si="6"/>
        <v>0</v>
      </c>
      <c r="AW55" s="117">
        <f t="shared" si="7"/>
        <v>0</v>
      </c>
      <c r="AX55" s="184">
        <f t="shared" si="8"/>
        <v>0</v>
      </c>
      <c r="AY55" s="117">
        <f t="shared" si="4"/>
        <v>0</v>
      </c>
      <c r="AZ55" s="117"/>
    </row>
    <row r="56" spans="44:52" s="14" customFormat="1" ht="14">
      <c r="AR56" s="117" t="str">
        <f t="shared" si="1"/>
        <v/>
      </c>
      <c r="AS56" s="183">
        <f t="shared" si="5"/>
        <v>0</v>
      </c>
      <c r="AT56" s="183"/>
      <c r="AU56" s="183">
        <f t="shared" si="2"/>
        <v>0</v>
      </c>
      <c r="AV56" s="183">
        <f t="shared" si="6"/>
        <v>0</v>
      </c>
      <c r="AW56" s="117">
        <f t="shared" si="7"/>
        <v>0</v>
      </c>
      <c r="AX56" s="184">
        <f t="shared" si="8"/>
        <v>0</v>
      </c>
      <c r="AY56" s="117">
        <f t="shared" si="4"/>
        <v>0</v>
      </c>
      <c r="AZ56" s="117"/>
    </row>
    <row r="57" spans="44:52" s="14" customFormat="1" ht="14">
      <c r="AR57" s="117" t="str">
        <f t="shared" si="1"/>
        <v/>
      </c>
      <c r="AS57" s="183">
        <f t="shared" si="5"/>
        <v>0</v>
      </c>
      <c r="AT57" s="183"/>
      <c r="AU57" s="183">
        <f t="shared" si="2"/>
        <v>0</v>
      </c>
      <c r="AV57" s="183">
        <f t="shared" si="6"/>
        <v>0</v>
      </c>
      <c r="AW57" s="117">
        <f t="shared" si="7"/>
        <v>0</v>
      </c>
      <c r="AX57" s="184">
        <f t="shared" si="8"/>
        <v>0</v>
      </c>
      <c r="AY57" s="117">
        <f t="shared" si="4"/>
        <v>0</v>
      </c>
      <c r="AZ57" s="117"/>
    </row>
    <row r="58" spans="44:52" s="14" customFormat="1" ht="14">
      <c r="AR58" s="117" t="str">
        <f t="shared" si="1"/>
        <v/>
      </c>
      <c r="AS58" s="183">
        <f t="shared" si="5"/>
        <v>0</v>
      </c>
      <c r="AT58" s="183"/>
      <c r="AU58" s="183">
        <f t="shared" si="2"/>
        <v>0</v>
      </c>
      <c r="AV58" s="183">
        <f t="shared" si="6"/>
        <v>0</v>
      </c>
      <c r="AW58" s="117">
        <f t="shared" si="7"/>
        <v>0</v>
      </c>
      <c r="AX58" s="184">
        <f t="shared" si="8"/>
        <v>0</v>
      </c>
      <c r="AY58" s="117">
        <f t="shared" si="4"/>
        <v>0</v>
      </c>
      <c r="AZ58" s="117"/>
    </row>
    <row r="59" spans="44:52" s="14" customFormat="1" ht="14">
      <c r="AR59" s="117" t="str">
        <f t="shared" si="1"/>
        <v/>
      </c>
      <c r="AS59" s="183">
        <f t="shared" si="5"/>
        <v>0</v>
      </c>
      <c r="AT59" s="183"/>
      <c r="AU59" s="183">
        <f t="shared" si="2"/>
        <v>0</v>
      </c>
      <c r="AV59" s="183">
        <f t="shared" si="6"/>
        <v>0</v>
      </c>
      <c r="AW59" s="117">
        <f t="shared" si="7"/>
        <v>0</v>
      </c>
      <c r="AX59" s="184">
        <f t="shared" si="8"/>
        <v>0</v>
      </c>
      <c r="AY59" s="117">
        <f t="shared" si="4"/>
        <v>0</v>
      </c>
      <c r="AZ59" s="117"/>
    </row>
    <row r="60" spans="44:52" s="14" customFormat="1" ht="14">
      <c r="AR60" s="117" t="str">
        <f t="shared" si="1"/>
        <v/>
      </c>
      <c r="AS60" s="183">
        <f t="shared" si="5"/>
        <v>0</v>
      </c>
      <c r="AT60" s="183"/>
      <c r="AU60" s="183">
        <f t="shared" si="2"/>
        <v>0</v>
      </c>
      <c r="AV60" s="183">
        <f t="shared" si="6"/>
        <v>0</v>
      </c>
      <c r="AW60" s="117">
        <f t="shared" si="7"/>
        <v>0</v>
      </c>
      <c r="AX60" s="184">
        <f t="shared" si="8"/>
        <v>0</v>
      </c>
      <c r="AY60" s="117">
        <f t="shared" si="4"/>
        <v>0</v>
      </c>
      <c r="AZ60" s="117"/>
    </row>
    <row r="61" spans="44:52" s="14" customFormat="1" ht="14">
      <c r="AR61" s="117" t="str">
        <f t="shared" si="1"/>
        <v/>
      </c>
      <c r="AS61" s="183">
        <f t="shared" si="5"/>
        <v>0</v>
      </c>
      <c r="AT61" s="183"/>
      <c r="AU61" s="183">
        <f t="shared" si="2"/>
        <v>0</v>
      </c>
      <c r="AV61" s="183">
        <f t="shared" si="6"/>
        <v>0</v>
      </c>
      <c r="AW61" s="117">
        <f t="shared" si="7"/>
        <v>0</v>
      </c>
      <c r="AX61" s="184">
        <f t="shared" si="8"/>
        <v>0</v>
      </c>
      <c r="AY61" s="117">
        <f t="shared" si="4"/>
        <v>0</v>
      </c>
      <c r="AZ61" s="117"/>
    </row>
    <row r="62" spans="44:52" s="14" customFormat="1" ht="14">
      <c r="AR62" s="117" t="str">
        <f t="shared" si="1"/>
        <v/>
      </c>
      <c r="AS62" s="183">
        <f t="shared" si="5"/>
        <v>0</v>
      </c>
      <c r="AT62" s="183"/>
      <c r="AU62" s="183">
        <f t="shared" si="2"/>
        <v>0</v>
      </c>
      <c r="AV62" s="183">
        <f t="shared" si="6"/>
        <v>0</v>
      </c>
      <c r="AW62" s="117">
        <f t="shared" si="7"/>
        <v>0</v>
      </c>
      <c r="AX62" s="184">
        <f t="shared" si="8"/>
        <v>0</v>
      </c>
      <c r="AY62" s="117">
        <f t="shared" si="4"/>
        <v>0</v>
      </c>
      <c r="AZ62" s="117"/>
    </row>
    <row r="63" spans="44:52" s="14" customFormat="1" ht="14">
      <c r="AR63" s="117" t="str">
        <f t="shared" si="1"/>
        <v/>
      </c>
      <c r="AS63" s="183">
        <f t="shared" si="5"/>
        <v>0</v>
      </c>
      <c r="AT63" s="183"/>
      <c r="AU63" s="183">
        <f t="shared" si="2"/>
        <v>0</v>
      </c>
      <c r="AV63" s="183">
        <f t="shared" si="6"/>
        <v>0</v>
      </c>
      <c r="AW63" s="117">
        <f t="shared" si="7"/>
        <v>0</v>
      </c>
      <c r="AX63" s="184">
        <f t="shared" si="8"/>
        <v>0</v>
      </c>
      <c r="AY63" s="117">
        <f t="shared" si="4"/>
        <v>0</v>
      </c>
      <c r="AZ63" s="117"/>
    </row>
    <row r="64" spans="44:52" s="14" customFormat="1" ht="14">
      <c r="AR64" s="117" t="str">
        <f t="shared" si="1"/>
        <v/>
      </c>
      <c r="AS64" s="183">
        <f t="shared" si="5"/>
        <v>0</v>
      </c>
      <c r="AT64" s="183"/>
      <c r="AU64" s="183">
        <f t="shared" si="2"/>
        <v>0</v>
      </c>
      <c r="AV64" s="183">
        <f t="shared" si="6"/>
        <v>0</v>
      </c>
      <c r="AW64" s="117">
        <f t="shared" si="7"/>
        <v>0</v>
      </c>
      <c r="AX64" s="184">
        <f t="shared" si="8"/>
        <v>0</v>
      </c>
      <c r="AY64" s="117">
        <f t="shared" si="4"/>
        <v>0</v>
      </c>
      <c r="AZ64" s="117"/>
    </row>
    <row r="65" spans="44:52" s="14" customFormat="1" ht="14">
      <c r="AR65" s="117" t="str">
        <f t="shared" si="1"/>
        <v/>
      </c>
      <c r="AS65" s="183">
        <f t="shared" si="5"/>
        <v>0</v>
      </c>
      <c r="AT65" s="183"/>
      <c r="AU65" s="183">
        <f t="shared" si="2"/>
        <v>0</v>
      </c>
      <c r="AV65" s="183">
        <f t="shared" si="6"/>
        <v>0</v>
      </c>
      <c r="AW65" s="117">
        <f t="shared" si="7"/>
        <v>0</v>
      </c>
      <c r="AX65" s="184">
        <f t="shared" si="8"/>
        <v>0</v>
      </c>
      <c r="AY65" s="117">
        <f t="shared" si="4"/>
        <v>0</v>
      </c>
      <c r="AZ65" s="117"/>
    </row>
    <row r="66" spans="44:52" s="14" customFormat="1" ht="14">
      <c r="AR66" s="117" t="str">
        <f t="shared" si="1"/>
        <v/>
      </c>
      <c r="AS66" s="183">
        <f t="shared" si="5"/>
        <v>0</v>
      </c>
      <c r="AT66" s="183"/>
      <c r="AU66" s="183">
        <f t="shared" si="2"/>
        <v>0</v>
      </c>
      <c r="AV66" s="183">
        <f t="shared" si="6"/>
        <v>0</v>
      </c>
      <c r="AW66" s="117">
        <f t="shared" si="7"/>
        <v>0</v>
      </c>
      <c r="AX66" s="184">
        <f t="shared" si="8"/>
        <v>0</v>
      </c>
      <c r="AY66" s="117">
        <f t="shared" si="4"/>
        <v>0</v>
      </c>
      <c r="AZ66" s="117"/>
    </row>
    <row r="67" spans="44:52" s="14" customFormat="1" ht="14">
      <c r="AR67" s="117" t="str">
        <f t="shared" si="1"/>
        <v/>
      </c>
      <c r="AS67" s="183">
        <f t="shared" si="5"/>
        <v>0</v>
      </c>
      <c r="AT67" s="183"/>
      <c r="AU67" s="183">
        <f t="shared" si="2"/>
        <v>0</v>
      </c>
      <c r="AV67" s="183">
        <f t="shared" si="6"/>
        <v>0</v>
      </c>
      <c r="AW67" s="117">
        <f t="shared" si="7"/>
        <v>0</v>
      </c>
      <c r="AX67" s="184">
        <f t="shared" si="8"/>
        <v>0</v>
      </c>
      <c r="AY67" s="117">
        <f t="shared" si="4"/>
        <v>0</v>
      </c>
      <c r="AZ67" s="117"/>
    </row>
    <row r="68" spans="44:52" s="14" customFormat="1" ht="14">
      <c r="AR68" s="117" t="str">
        <f t="shared" si="1"/>
        <v/>
      </c>
      <c r="AS68" s="183">
        <f t="shared" si="5"/>
        <v>0</v>
      </c>
      <c r="AT68" s="183"/>
      <c r="AU68" s="183">
        <f t="shared" si="2"/>
        <v>0</v>
      </c>
      <c r="AV68" s="183">
        <f t="shared" si="6"/>
        <v>0</v>
      </c>
      <c r="AW68" s="117">
        <f t="shared" si="7"/>
        <v>0</v>
      </c>
      <c r="AX68" s="184">
        <f t="shared" si="8"/>
        <v>0</v>
      </c>
      <c r="AY68" s="117">
        <f t="shared" si="4"/>
        <v>0</v>
      </c>
      <c r="AZ68" s="117"/>
    </row>
    <row r="69" spans="44:52" s="14" customFormat="1" ht="14">
      <c r="AR69" s="117" t="str">
        <f t="shared" ref="AR69:AR113" si="9">IF(AR68&lt;$D$14,AR68+1,"")</f>
        <v/>
      </c>
      <c r="AS69" s="183">
        <f t="shared" si="5"/>
        <v>0</v>
      </c>
      <c r="AT69" s="183"/>
      <c r="AU69" s="183">
        <f t="shared" si="2"/>
        <v>0</v>
      </c>
      <c r="AV69" s="183">
        <f t="shared" si="6"/>
        <v>0</v>
      </c>
      <c r="AW69" s="117">
        <f t="shared" si="7"/>
        <v>0</v>
      </c>
      <c r="AX69" s="184">
        <f t="shared" si="8"/>
        <v>0</v>
      </c>
      <c r="AY69" s="117">
        <f t="shared" si="4"/>
        <v>0</v>
      </c>
      <c r="AZ69" s="117"/>
    </row>
    <row r="70" spans="44:52" s="14" customFormat="1" ht="14">
      <c r="AR70" s="117" t="str">
        <f t="shared" si="9"/>
        <v/>
      </c>
      <c r="AS70" s="183">
        <f t="shared" si="5"/>
        <v>0</v>
      </c>
      <c r="AT70" s="183"/>
      <c r="AU70" s="183">
        <f t="shared" si="2"/>
        <v>0</v>
      </c>
      <c r="AV70" s="183">
        <f t="shared" si="6"/>
        <v>0</v>
      </c>
      <c r="AW70" s="117">
        <f t="shared" si="7"/>
        <v>0</v>
      </c>
      <c r="AX70" s="184">
        <f t="shared" si="8"/>
        <v>0</v>
      </c>
      <c r="AY70" s="117">
        <f t="shared" si="4"/>
        <v>0</v>
      </c>
      <c r="AZ70" s="117"/>
    </row>
    <row r="71" spans="44:52" s="14" customFormat="1" ht="14">
      <c r="AR71" s="117" t="str">
        <f t="shared" si="9"/>
        <v/>
      </c>
      <c r="AS71" s="183">
        <f t="shared" si="5"/>
        <v>0</v>
      </c>
      <c r="AT71" s="183"/>
      <c r="AU71" s="183">
        <f t="shared" ref="AU71:AU113" si="10">$D$10*AS71</f>
        <v>0</v>
      </c>
      <c r="AV71" s="183">
        <f t="shared" si="6"/>
        <v>0</v>
      </c>
      <c r="AW71" s="117">
        <f t="shared" si="7"/>
        <v>0</v>
      </c>
      <c r="AX71" s="184">
        <f t="shared" si="8"/>
        <v>0</v>
      </c>
      <c r="AY71" s="117">
        <f t="shared" ref="AY71:AY113" si="11">IF(ISNUMBER(AR71),AX71/(1+$D$7)^AR71,0)</f>
        <v>0</v>
      </c>
      <c r="AZ71" s="117"/>
    </row>
    <row r="72" spans="44:52" s="14" customFormat="1" ht="14">
      <c r="AR72" s="117" t="str">
        <f t="shared" si="9"/>
        <v/>
      </c>
      <c r="AS72" s="183">
        <f t="shared" ref="AS72:AS113" si="12">IF(ISNUMBER(AR72),AV71,0)</f>
        <v>0</v>
      </c>
      <c r="AT72" s="183"/>
      <c r="AU72" s="183">
        <f t="shared" si="10"/>
        <v>0</v>
      </c>
      <c r="AV72" s="183">
        <f t="shared" ref="AV72:AV113" si="13">AS72</f>
        <v>0</v>
      </c>
      <c r="AW72" s="117">
        <f t="shared" si="7"/>
        <v>0</v>
      </c>
      <c r="AX72" s="184">
        <f t="shared" si="8"/>
        <v>0</v>
      </c>
      <c r="AY72" s="117">
        <f t="shared" si="11"/>
        <v>0</v>
      </c>
      <c r="AZ72" s="117"/>
    </row>
    <row r="73" spans="44:52" s="14" customFormat="1" ht="14">
      <c r="AR73" s="117" t="str">
        <f t="shared" si="9"/>
        <v/>
      </c>
      <c r="AS73" s="183">
        <f t="shared" si="12"/>
        <v>0</v>
      </c>
      <c r="AT73" s="183"/>
      <c r="AU73" s="183">
        <f t="shared" si="10"/>
        <v>0</v>
      </c>
      <c r="AV73" s="183">
        <f t="shared" si="13"/>
        <v>0</v>
      </c>
      <c r="AW73" s="117">
        <f t="shared" si="7"/>
        <v>0</v>
      </c>
      <c r="AX73" s="184">
        <f t="shared" si="8"/>
        <v>0</v>
      </c>
      <c r="AY73" s="117">
        <f t="shared" si="11"/>
        <v>0</v>
      </c>
      <c r="AZ73" s="117"/>
    </row>
    <row r="74" spans="44:52" s="14" customFormat="1" ht="14">
      <c r="AR74" s="117" t="str">
        <f t="shared" si="9"/>
        <v/>
      </c>
      <c r="AS74" s="183">
        <f t="shared" si="12"/>
        <v>0</v>
      </c>
      <c r="AT74" s="183"/>
      <c r="AU74" s="183">
        <f t="shared" si="10"/>
        <v>0</v>
      </c>
      <c r="AV74" s="183">
        <f t="shared" si="13"/>
        <v>0</v>
      </c>
      <c r="AW74" s="117">
        <f t="shared" si="7"/>
        <v>0</v>
      </c>
      <c r="AX74" s="184">
        <f t="shared" si="8"/>
        <v>0</v>
      </c>
      <c r="AY74" s="117">
        <f t="shared" si="11"/>
        <v>0</v>
      </c>
      <c r="AZ74" s="117"/>
    </row>
    <row r="75" spans="44:52" s="14" customFormat="1" ht="14">
      <c r="AR75" s="117" t="str">
        <f t="shared" si="9"/>
        <v/>
      </c>
      <c r="AS75" s="183">
        <f t="shared" si="12"/>
        <v>0</v>
      </c>
      <c r="AT75" s="183"/>
      <c r="AU75" s="183">
        <f t="shared" si="10"/>
        <v>0</v>
      </c>
      <c r="AV75" s="183">
        <f t="shared" si="13"/>
        <v>0</v>
      </c>
      <c r="AW75" s="117">
        <f t="shared" si="7"/>
        <v>0</v>
      </c>
      <c r="AX75" s="184">
        <f t="shared" si="8"/>
        <v>0</v>
      </c>
      <c r="AY75" s="117">
        <f t="shared" si="11"/>
        <v>0</v>
      </c>
      <c r="AZ75" s="117"/>
    </row>
    <row r="76" spans="44:52" s="14" customFormat="1" ht="14">
      <c r="AR76" s="117" t="str">
        <f t="shared" si="9"/>
        <v/>
      </c>
      <c r="AS76" s="183">
        <f t="shared" si="12"/>
        <v>0</v>
      </c>
      <c r="AT76" s="183"/>
      <c r="AU76" s="183">
        <f t="shared" si="10"/>
        <v>0</v>
      </c>
      <c r="AV76" s="183">
        <f t="shared" si="13"/>
        <v>0</v>
      </c>
      <c r="AW76" s="117">
        <f t="shared" si="7"/>
        <v>0</v>
      </c>
      <c r="AX76" s="184">
        <f t="shared" si="8"/>
        <v>0</v>
      </c>
      <c r="AY76" s="117">
        <f t="shared" si="11"/>
        <v>0</v>
      </c>
      <c r="AZ76" s="117"/>
    </row>
    <row r="77" spans="44:52" s="14" customFormat="1" ht="14">
      <c r="AR77" s="117" t="str">
        <f t="shared" si="9"/>
        <v/>
      </c>
      <c r="AS77" s="183">
        <f t="shared" si="12"/>
        <v>0</v>
      </c>
      <c r="AT77" s="183"/>
      <c r="AU77" s="183">
        <f t="shared" si="10"/>
        <v>0</v>
      </c>
      <c r="AV77" s="183">
        <f t="shared" si="13"/>
        <v>0</v>
      </c>
      <c r="AW77" s="117">
        <f t="shared" si="7"/>
        <v>0</v>
      </c>
      <c r="AX77" s="184">
        <f t="shared" si="8"/>
        <v>0</v>
      </c>
      <c r="AY77" s="117">
        <f t="shared" si="11"/>
        <v>0</v>
      </c>
      <c r="AZ77" s="117"/>
    </row>
    <row r="78" spans="44:52" s="14" customFormat="1" ht="14">
      <c r="AR78" s="117" t="str">
        <f t="shared" si="9"/>
        <v/>
      </c>
      <c r="AS78" s="183">
        <f t="shared" si="12"/>
        <v>0</v>
      </c>
      <c r="AT78" s="183"/>
      <c r="AU78" s="183">
        <f t="shared" si="10"/>
        <v>0</v>
      </c>
      <c r="AV78" s="183">
        <f t="shared" si="13"/>
        <v>0</v>
      </c>
      <c r="AW78" s="117">
        <f t="shared" si="7"/>
        <v>0</v>
      </c>
      <c r="AX78" s="184">
        <f t="shared" si="8"/>
        <v>0</v>
      </c>
      <c r="AY78" s="117">
        <f t="shared" si="11"/>
        <v>0</v>
      </c>
      <c r="AZ78" s="117"/>
    </row>
    <row r="79" spans="44:52" s="14" customFormat="1" ht="14">
      <c r="AR79" s="117" t="str">
        <f t="shared" si="9"/>
        <v/>
      </c>
      <c r="AS79" s="183">
        <f t="shared" si="12"/>
        <v>0</v>
      </c>
      <c r="AT79" s="183"/>
      <c r="AU79" s="183">
        <f t="shared" si="10"/>
        <v>0</v>
      </c>
      <c r="AV79" s="183">
        <f t="shared" si="13"/>
        <v>0</v>
      </c>
      <c r="AW79" s="117">
        <f t="shared" si="7"/>
        <v>0</v>
      </c>
      <c r="AX79" s="184">
        <f t="shared" si="8"/>
        <v>0</v>
      </c>
      <c r="AY79" s="117">
        <f t="shared" si="11"/>
        <v>0</v>
      </c>
      <c r="AZ79" s="117"/>
    </row>
    <row r="80" spans="44:52" s="14" customFormat="1" ht="14">
      <c r="AR80" s="117" t="str">
        <f t="shared" si="9"/>
        <v/>
      </c>
      <c r="AS80" s="183">
        <f t="shared" si="12"/>
        <v>0</v>
      </c>
      <c r="AT80" s="183"/>
      <c r="AU80" s="183">
        <f t="shared" si="10"/>
        <v>0</v>
      </c>
      <c r="AV80" s="183">
        <f t="shared" si="13"/>
        <v>0</v>
      </c>
      <c r="AW80" s="117">
        <f t="shared" si="7"/>
        <v>0</v>
      </c>
      <c r="AX80" s="184">
        <f t="shared" si="8"/>
        <v>0</v>
      </c>
      <c r="AY80" s="117">
        <f t="shared" si="11"/>
        <v>0</v>
      </c>
      <c r="AZ80" s="117"/>
    </row>
    <row r="81" spans="44:52" s="14" customFormat="1" ht="14">
      <c r="AR81" s="117" t="str">
        <f t="shared" si="9"/>
        <v/>
      </c>
      <c r="AS81" s="183">
        <f t="shared" si="12"/>
        <v>0</v>
      </c>
      <c r="AT81" s="183"/>
      <c r="AU81" s="183">
        <f t="shared" si="10"/>
        <v>0</v>
      </c>
      <c r="AV81" s="183">
        <f t="shared" si="13"/>
        <v>0</v>
      </c>
      <c r="AW81" s="117">
        <f t="shared" ref="AW81:AW113" si="14">IF(ISNUMBER(AR82),SUM(AT81:AU81),SUM(AT81:AV81))</f>
        <v>0</v>
      </c>
      <c r="AX81" s="184">
        <f t="shared" si="8"/>
        <v>0</v>
      </c>
      <c r="AY81" s="117">
        <f t="shared" si="11"/>
        <v>0</v>
      </c>
      <c r="AZ81" s="117"/>
    </row>
    <row r="82" spans="44:52" s="14" customFormat="1" ht="14">
      <c r="AR82" s="117" t="str">
        <f t="shared" si="9"/>
        <v/>
      </c>
      <c r="AS82" s="183">
        <f t="shared" si="12"/>
        <v>0</v>
      </c>
      <c r="AT82" s="183"/>
      <c r="AU82" s="183">
        <f t="shared" si="10"/>
        <v>0</v>
      </c>
      <c r="AV82" s="183">
        <f t="shared" si="13"/>
        <v>0</v>
      </c>
      <c r="AW82" s="117">
        <f t="shared" si="14"/>
        <v>0</v>
      </c>
      <c r="AX82" s="184">
        <f t="shared" si="8"/>
        <v>0</v>
      </c>
      <c r="AY82" s="117">
        <f t="shared" si="11"/>
        <v>0</v>
      </c>
      <c r="AZ82" s="117"/>
    </row>
    <row r="83" spans="44:52" s="14" customFormat="1" ht="14">
      <c r="AR83" s="117" t="str">
        <f t="shared" si="9"/>
        <v/>
      </c>
      <c r="AS83" s="183">
        <f t="shared" si="12"/>
        <v>0</v>
      </c>
      <c r="AT83" s="183"/>
      <c r="AU83" s="183">
        <f t="shared" si="10"/>
        <v>0</v>
      </c>
      <c r="AV83" s="183">
        <f t="shared" si="13"/>
        <v>0</v>
      </c>
      <c r="AW83" s="117">
        <f t="shared" si="14"/>
        <v>0</v>
      </c>
      <c r="AX83" s="184">
        <f t="shared" si="8"/>
        <v>0</v>
      </c>
      <c r="AY83" s="117">
        <f t="shared" si="11"/>
        <v>0</v>
      </c>
      <c r="AZ83" s="117"/>
    </row>
    <row r="84" spans="44:52" s="14" customFormat="1" ht="14">
      <c r="AR84" s="117" t="str">
        <f t="shared" si="9"/>
        <v/>
      </c>
      <c r="AS84" s="183">
        <f t="shared" si="12"/>
        <v>0</v>
      </c>
      <c r="AT84" s="183"/>
      <c r="AU84" s="183">
        <f t="shared" si="10"/>
        <v>0</v>
      </c>
      <c r="AV84" s="183">
        <f t="shared" si="13"/>
        <v>0</v>
      </c>
      <c r="AW84" s="117">
        <f t="shared" si="14"/>
        <v>0</v>
      </c>
      <c r="AX84" s="184">
        <f t="shared" si="8"/>
        <v>0</v>
      </c>
      <c r="AY84" s="117">
        <f t="shared" si="11"/>
        <v>0</v>
      </c>
      <c r="AZ84" s="117"/>
    </row>
    <row r="85" spans="44:52" s="14" customFormat="1" ht="14">
      <c r="AR85" s="117" t="str">
        <f t="shared" si="9"/>
        <v/>
      </c>
      <c r="AS85" s="183">
        <f t="shared" si="12"/>
        <v>0</v>
      </c>
      <c r="AT85" s="183"/>
      <c r="AU85" s="183">
        <f t="shared" si="10"/>
        <v>0</v>
      </c>
      <c r="AV85" s="183">
        <f t="shared" si="13"/>
        <v>0</v>
      </c>
      <c r="AW85" s="117">
        <f t="shared" si="14"/>
        <v>0</v>
      </c>
      <c r="AX85" s="184">
        <f t="shared" si="8"/>
        <v>0</v>
      </c>
      <c r="AY85" s="117">
        <f t="shared" si="11"/>
        <v>0</v>
      </c>
      <c r="AZ85" s="117"/>
    </row>
    <row r="86" spans="44:52" s="14" customFormat="1" ht="14">
      <c r="AR86" s="117" t="str">
        <f t="shared" si="9"/>
        <v/>
      </c>
      <c r="AS86" s="183">
        <f t="shared" si="12"/>
        <v>0</v>
      </c>
      <c r="AT86" s="183"/>
      <c r="AU86" s="183">
        <f t="shared" si="10"/>
        <v>0</v>
      </c>
      <c r="AV86" s="183">
        <f t="shared" si="13"/>
        <v>0</v>
      </c>
      <c r="AW86" s="117">
        <f t="shared" si="14"/>
        <v>0</v>
      </c>
      <c r="AX86" s="184">
        <f t="shared" si="8"/>
        <v>0</v>
      </c>
      <c r="AY86" s="117">
        <f t="shared" si="11"/>
        <v>0</v>
      </c>
      <c r="AZ86" s="117"/>
    </row>
    <row r="87" spans="44:52" s="14" customFormat="1" ht="14">
      <c r="AR87" s="117" t="str">
        <f t="shared" si="9"/>
        <v/>
      </c>
      <c r="AS87" s="183">
        <f t="shared" si="12"/>
        <v>0</v>
      </c>
      <c r="AT87" s="183"/>
      <c r="AU87" s="183">
        <f t="shared" si="10"/>
        <v>0</v>
      </c>
      <c r="AV87" s="183">
        <f t="shared" si="13"/>
        <v>0</v>
      </c>
      <c r="AW87" s="117">
        <f t="shared" si="14"/>
        <v>0</v>
      </c>
      <c r="AX87" s="184">
        <f t="shared" si="8"/>
        <v>0</v>
      </c>
      <c r="AY87" s="117">
        <f t="shared" si="11"/>
        <v>0</v>
      </c>
      <c r="AZ87" s="117"/>
    </row>
    <row r="88" spans="44:52" s="14" customFormat="1" ht="14">
      <c r="AR88" s="117" t="str">
        <f t="shared" si="9"/>
        <v/>
      </c>
      <c r="AS88" s="183">
        <f t="shared" si="12"/>
        <v>0</v>
      </c>
      <c r="AT88" s="183"/>
      <c r="AU88" s="183">
        <f t="shared" si="10"/>
        <v>0</v>
      </c>
      <c r="AV88" s="183">
        <f t="shared" si="13"/>
        <v>0</v>
      </c>
      <c r="AW88" s="117">
        <f t="shared" si="14"/>
        <v>0</v>
      </c>
      <c r="AX88" s="184">
        <f t="shared" si="8"/>
        <v>0</v>
      </c>
      <c r="AY88" s="117">
        <f t="shared" si="11"/>
        <v>0</v>
      </c>
      <c r="AZ88" s="117"/>
    </row>
    <row r="89" spans="44:52" s="14" customFormat="1" ht="14">
      <c r="AR89" s="117" t="str">
        <f t="shared" si="9"/>
        <v/>
      </c>
      <c r="AS89" s="183">
        <f t="shared" si="12"/>
        <v>0</v>
      </c>
      <c r="AT89" s="183"/>
      <c r="AU89" s="183">
        <f t="shared" si="10"/>
        <v>0</v>
      </c>
      <c r="AV89" s="183">
        <f t="shared" si="13"/>
        <v>0</v>
      </c>
      <c r="AW89" s="117">
        <f t="shared" si="14"/>
        <v>0</v>
      </c>
      <c r="AX89" s="184">
        <f t="shared" si="8"/>
        <v>0</v>
      </c>
      <c r="AY89" s="117">
        <f t="shared" si="11"/>
        <v>0</v>
      </c>
      <c r="AZ89" s="117"/>
    </row>
    <row r="90" spans="44:52" s="14" customFormat="1" ht="14">
      <c r="AR90" s="117" t="str">
        <f t="shared" si="9"/>
        <v/>
      </c>
      <c r="AS90" s="183">
        <f t="shared" si="12"/>
        <v>0</v>
      </c>
      <c r="AT90" s="183"/>
      <c r="AU90" s="183">
        <f t="shared" si="10"/>
        <v>0</v>
      </c>
      <c r="AV90" s="183">
        <f t="shared" si="13"/>
        <v>0</v>
      </c>
      <c r="AW90" s="117">
        <f t="shared" si="14"/>
        <v>0</v>
      </c>
      <c r="AX90" s="184">
        <f t="shared" si="8"/>
        <v>0</v>
      </c>
      <c r="AY90" s="117">
        <f t="shared" si="11"/>
        <v>0</v>
      </c>
      <c r="AZ90" s="117"/>
    </row>
    <row r="91" spans="44:52" s="14" customFormat="1" ht="14">
      <c r="AR91" s="117" t="str">
        <f t="shared" si="9"/>
        <v/>
      </c>
      <c r="AS91" s="183">
        <f t="shared" si="12"/>
        <v>0</v>
      </c>
      <c r="AT91" s="183"/>
      <c r="AU91" s="183">
        <f t="shared" si="10"/>
        <v>0</v>
      </c>
      <c r="AV91" s="183">
        <f t="shared" si="13"/>
        <v>0</v>
      </c>
      <c r="AW91" s="117">
        <f t="shared" si="14"/>
        <v>0</v>
      </c>
      <c r="AX91" s="184">
        <f t="shared" si="8"/>
        <v>0</v>
      </c>
      <c r="AY91" s="117">
        <f t="shared" si="11"/>
        <v>0</v>
      </c>
      <c r="AZ91" s="117"/>
    </row>
    <row r="92" spans="44:52" s="14" customFormat="1" ht="14">
      <c r="AR92" s="117" t="str">
        <f t="shared" si="9"/>
        <v/>
      </c>
      <c r="AS92" s="183">
        <f t="shared" si="12"/>
        <v>0</v>
      </c>
      <c r="AT92" s="183"/>
      <c r="AU92" s="183">
        <f t="shared" si="10"/>
        <v>0</v>
      </c>
      <c r="AV92" s="183">
        <f t="shared" si="13"/>
        <v>0</v>
      </c>
      <c r="AW92" s="117">
        <f t="shared" si="14"/>
        <v>0</v>
      </c>
      <c r="AX92" s="184">
        <f t="shared" si="8"/>
        <v>0</v>
      </c>
      <c r="AY92" s="117">
        <f t="shared" si="11"/>
        <v>0</v>
      </c>
      <c r="AZ92" s="117"/>
    </row>
    <row r="93" spans="44:52" s="14" customFormat="1" ht="14">
      <c r="AR93" s="117" t="str">
        <f t="shared" si="9"/>
        <v/>
      </c>
      <c r="AS93" s="183">
        <f t="shared" si="12"/>
        <v>0</v>
      </c>
      <c r="AT93" s="183"/>
      <c r="AU93" s="183">
        <f t="shared" si="10"/>
        <v>0</v>
      </c>
      <c r="AV93" s="183">
        <f t="shared" si="13"/>
        <v>0</v>
      </c>
      <c r="AW93" s="117">
        <f t="shared" si="14"/>
        <v>0</v>
      </c>
      <c r="AX93" s="184">
        <f t="shared" si="8"/>
        <v>0</v>
      </c>
      <c r="AY93" s="117">
        <f t="shared" si="11"/>
        <v>0</v>
      </c>
      <c r="AZ93" s="117"/>
    </row>
    <row r="94" spans="44:52" s="14" customFormat="1" ht="14">
      <c r="AR94" s="117" t="str">
        <f t="shared" si="9"/>
        <v/>
      </c>
      <c r="AS94" s="183">
        <f t="shared" si="12"/>
        <v>0</v>
      </c>
      <c r="AT94" s="183"/>
      <c r="AU94" s="183">
        <f t="shared" si="10"/>
        <v>0</v>
      </c>
      <c r="AV94" s="183">
        <f t="shared" si="13"/>
        <v>0</v>
      </c>
      <c r="AW94" s="117">
        <f t="shared" si="14"/>
        <v>0</v>
      </c>
      <c r="AX94" s="184">
        <f t="shared" si="8"/>
        <v>0</v>
      </c>
      <c r="AY94" s="117">
        <f t="shared" si="11"/>
        <v>0</v>
      </c>
      <c r="AZ94" s="117"/>
    </row>
    <row r="95" spans="44:52" s="14" customFormat="1" ht="14">
      <c r="AR95" s="117" t="str">
        <f t="shared" si="9"/>
        <v/>
      </c>
      <c r="AS95" s="183">
        <f t="shared" si="12"/>
        <v>0</v>
      </c>
      <c r="AT95" s="183"/>
      <c r="AU95" s="183">
        <f t="shared" si="10"/>
        <v>0</v>
      </c>
      <c r="AV95" s="183">
        <f t="shared" si="13"/>
        <v>0</v>
      </c>
      <c r="AW95" s="117">
        <f t="shared" si="14"/>
        <v>0</v>
      </c>
      <c r="AX95" s="184">
        <f t="shared" si="8"/>
        <v>0</v>
      </c>
      <c r="AY95" s="117">
        <f t="shared" si="11"/>
        <v>0</v>
      </c>
      <c r="AZ95" s="117"/>
    </row>
    <row r="96" spans="44:52" s="14" customFormat="1" ht="14">
      <c r="AR96" s="117" t="str">
        <f t="shared" si="9"/>
        <v/>
      </c>
      <c r="AS96" s="183">
        <f t="shared" si="12"/>
        <v>0</v>
      </c>
      <c r="AT96" s="183"/>
      <c r="AU96" s="183">
        <f t="shared" si="10"/>
        <v>0</v>
      </c>
      <c r="AV96" s="183">
        <f t="shared" si="13"/>
        <v>0</v>
      </c>
      <c r="AW96" s="117">
        <f t="shared" si="14"/>
        <v>0</v>
      </c>
      <c r="AX96" s="184">
        <f t="shared" si="8"/>
        <v>0</v>
      </c>
      <c r="AY96" s="117">
        <f t="shared" si="11"/>
        <v>0</v>
      </c>
      <c r="AZ96" s="117"/>
    </row>
    <row r="97" spans="44:52" s="14" customFormat="1" ht="14">
      <c r="AR97" s="117" t="str">
        <f t="shared" si="9"/>
        <v/>
      </c>
      <c r="AS97" s="183">
        <f t="shared" si="12"/>
        <v>0</v>
      </c>
      <c r="AT97" s="183"/>
      <c r="AU97" s="183">
        <f t="shared" si="10"/>
        <v>0</v>
      </c>
      <c r="AV97" s="183">
        <f t="shared" si="13"/>
        <v>0</v>
      </c>
      <c r="AW97" s="117">
        <f t="shared" si="14"/>
        <v>0</v>
      </c>
      <c r="AX97" s="184">
        <f t="shared" si="8"/>
        <v>0</v>
      </c>
      <c r="AY97" s="117">
        <f t="shared" si="11"/>
        <v>0</v>
      </c>
      <c r="AZ97" s="117"/>
    </row>
    <row r="98" spans="44:52" s="14" customFormat="1" ht="14">
      <c r="AR98" s="117" t="str">
        <f t="shared" si="9"/>
        <v/>
      </c>
      <c r="AS98" s="183">
        <f t="shared" si="12"/>
        <v>0</v>
      </c>
      <c r="AT98" s="183"/>
      <c r="AU98" s="183">
        <f t="shared" si="10"/>
        <v>0</v>
      </c>
      <c r="AV98" s="183">
        <f t="shared" si="13"/>
        <v>0</v>
      </c>
      <c r="AW98" s="117">
        <f t="shared" si="14"/>
        <v>0</v>
      </c>
      <c r="AX98" s="184">
        <f t="shared" si="8"/>
        <v>0</v>
      </c>
      <c r="AY98" s="117">
        <f t="shared" si="11"/>
        <v>0</v>
      </c>
      <c r="AZ98" s="117"/>
    </row>
    <row r="99" spans="44:52" s="14" customFormat="1" ht="14">
      <c r="AR99" s="117" t="str">
        <f t="shared" si="9"/>
        <v/>
      </c>
      <c r="AS99" s="183">
        <f t="shared" si="12"/>
        <v>0</v>
      </c>
      <c r="AT99" s="183"/>
      <c r="AU99" s="183">
        <f t="shared" si="10"/>
        <v>0</v>
      </c>
      <c r="AV99" s="183">
        <f t="shared" si="13"/>
        <v>0</v>
      </c>
      <c r="AW99" s="117">
        <f t="shared" si="14"/>
        <v>0</v>
      </c>
      <c r="AX99" s="184">
        <f t="shared" si="8"/>
        <v>0</v>
      </c>
      <c r="AY99" s="117">
        <f t="shared" si="11"/>
        <v>0</v>
      </c>
      <c r="AZ99" s="117"/>
    </row>
    <row r="100" spans="44:52" s="14" customFormat="1" ht="14">
      <c r="AR100" s="117" t="str">
        <f t="shared" si="9"/>
        <v/>
      </c>
      <c r="AS100" s="183">
        <f t="shared" si="12"/>
        <v>0</v>
      </c>
      <c r="AT100" s="183"/>
      <c r="AU100" s="183">
        <f t="shared" si="10"/>
        <v>0</v>
      </c>
      <c r="AV100" s="183">
        <f t="shared" si="13"/>
        <v>0</v>
      </c>
      <c r="AW100" s="117">
        <f t="shared" si="14"/>
        <v>0</v>
      </c>
      <c r="AX100" s="184">
        <f t="shared" si="8"/>
        <v>0</v>
      </c>
      <c r="AY100" s="117">
        <f t="shared" si="11"/>
        <v>0</v>
      </c>
      <c r="AZ100" s="117"/>
    </row>
    <row r="101" spans="44:52" s="14" customFormat="1" ht="14">
      <c r="AR101" s="117" t="str">
        <f t="shared" si="9"/>
        <v/>
      </c>
      <c r="AS101" s="183">
        <f t="shared" si="12"/>
        <v>0</v>
      </c>
      <c r="AT101" s="183"/>
      <c r="AU101" s="183">
        <f t="shared" si="10"/>
        <v>0</v>
      </c>
      <c r="AV101" s="183">
        <f t="shared" si="13"/>
        <v>0</v>
      </c>
      <c r="AW101" s="117">
        <f t="shared" si="14"/>
        <v>0</v>
      </c>
      <c r="AX101" s="184">
        <f t="shared" si="8"/>
        <v>0</v>
      </c>
      <c r="AY101" s="117">
        <f t="shared" si="11"/>
        <v>0</v>
      </c>
      <c r="AZ101" s="117"/>
    </row>
    <row r="102" spans="44:52" s="14" customFormat="1" ht="14">
      <c r="AR102" s="117" t="str">
        <f t="shared" si="9"/>
        <v/>
      </c>
      <c r="AS102" s="183">
        <f t="shared" si="12"/>
        <v>0</v>
      </c>
      <c r="AT102" s="183"/>
      <c r="AU102" s="183">
        <f t="shared" si="10"/>
        <v>0</v>
      </c>
      <c r="AV102" s="183">
        <f t="shared" si="13"/>
        <v>0</v>
      </c>
      <c r="AW102" s="117">
        <f t="shared" si="14"/>
        <v>0</v>
      </c>
      <c r="AX102" s="184">
        <f t="shared" ref="AX102:AX113" si="15">LN(AW102+$J$36)-LN($J$36)</f>
        <v>0</v>
      </c>
      <c r="AY102" s="117">
        <f t="shared" si="11"/>
        <v>0</v>
      </c>
      <c r="AZ102" s="117"/>
    </row>
    <row r="103" spans="44:52" s="14" customFormat="1" ht="14">
      <c r="AR103" s="117" t="str">
        <f t="shared" si="9"/>
        <v/>
      </c>
      <c r="AS103" s="183">
        <f t="shared" si="12"/>
        <v>0</v>
      </c>
      <c r="AT103" s="183"/>
      <c r="AU103" s="183">
        <f t="shared" si="10"/>
        <v>0</v>
      </c>
      <c r="AV103" s="183">
        <f t="shared" si="13"/>
        <v>0</v>
      </c>
      <c r="AW103" s="117">
        <f t="shared" si="14"/>
        <v>0</v>
      </c>
      <c r="AX103" s="184">
        <f t="shared" si="15"/>
        <v>0</v>
      </c>
      <c r="AY103" s="117">
        <f t="shared" si="11"/>
        <v>0</v>
      </c>
      <c r="AZ103" s="117"/>
    </row>
    <row r="104" spans="44:52" s="14" customFormat="1" ht="14">
      <c r="AR104" s="117" t="str">
        <f t="shared" si="9"/>
        <v/>
      </c>
      <c r="AS104" s="183">
        <f t="shared" si="12"/>
        <v>0</v>
      </c>
      <c r="AT104" s="183"/>
      <c r="AU104" s="183">
        <f t="shared" si="10"/>
        <v>0</v>
      </c>
      <c r="AV104" s="183">
        <f t="shared" si="13"/>
        <v>0</v>
      </c>
      <c r="AW104" s="117">
        <f t="shared" si="14"/>
        <v>0</v>
      </c>
      <c r="AX104" s="184">
        <f t="shared" si="15"/>
        <v>0</v>
      </c>
      <c r="AY104" s="117">
        <f t="shared" si="11"/>
        <v>0</v>
      </c>
      <c r="AZ104" s="117"/>
    </row>
    <row r="105" spans="44:52" s="14" customFormat="1" ht="14">
      <c r="AR105" s="117" t="str">
        <f t="shared" si="9"/>
        <v/>
      </c>
      <c r="AS105" s="183">
        <f t="shared" si="12"/>
        <v>0</v>
      </c>
      <c r="AT105" s="183"/>
      <c r="AU105" s="183">
        <f t="shared" si="10"/>
        <v>0</v>
      </c>
      <c r="AV105" s="183">
        <f t="shared" si="13"/>
        <v>0</v>
      </c>
      <c r="AW105" s="117">
        <f t="shared" si="14"/>
        <v>0</v>
      </c>
      <c r="AX105" s="184">
        <f t="shared" si="15"/>
        <v>0</v>
      </c>
      <c r="AY105" s="117">
        <f t="shared" si="11"/>
        <v>0</v>
      </c>
      <c r="AZ105" s="117"/>
    </row>
    <row r="106" spans="44:52" s="14" customFormat="1" ht="14">
      <c r="AR106" s="117" t="str">
        <f t="shared" si="9"/>
        <v/>
      </c>
      <c r="AS106" s="183">
        <f t="shared" si="12"/>
        <v>0</v>
      </c>
      <c r="AT106" s="183"/>
      <c r="AU106" s="183">
        <f t="shared" si="10"/>
        <v>0</v>
      </c>
      <c r="AV106" s="183">
        <f t="shared" si="13"/>
        <v>0</v>
      </c>
      <c r="AW106" s="117">
        <f t="shared" si="14"/>
        <v>0</v>
      </c>
      <c r="AX106" s="184">
        <f t="shared" si="15"/>
        <v>0</v>
      </c>
      <c r="AY106" s="117">
        <f t="shared" si="11"/>
        <v>0</v>
      </c>
      <c r="AZ106" s="117"/>
    </row>
    <row r="107" spans="44:52" s="14" customFormat="1" ht="14">
      <c r="AR107" s="117" t="str">
        <f t="shared" si="9"/>
        <v/>
      </c>
      <c r="AS107" s="183">
        <f t="shared" si="12"/>
        <v>0</v>
      </c>
      <c r="AT107" s="183"/>
      <c r="AU107" s="183">
        <f t="shared" si="10"/>
        <v>0</v>
      </c>
      <c r="AV107" s="183">
        <f t="shared" si="13"/>
        <v>0</v>
      </c>
      <c r="AW107" s="117">
        <f t="shared" si="14"/>
        <v>0</v>
      </c>
      <c r="AX107" s="184">
        <f t="shared" si="15"/>
        <v>0</v>
      </c>
      <c r="AY107" s="117">
        <f t="shared" si="11"/>
        <v>0</v>
      </c>
      <c r="AZ107" s="117"/>
    </row>
    <row r="108" spans="44:52" s="14" customFormat="1" ht="14">
      <c r="AR108" s="117" t="str">
        <f t="shared" si="9"/>
        <v/>
      </c>
      <c r="AS108" s="183">
        <f t="shared" si="12"/>
        <v>0</v>
      </c>
      <c r="AT108" s="183"/>
      <c r="AU108" s="183">
        <f t="shared" si="10"/>
        <v>0</v>
      </c>
      <c r="AV108" s="183">
        <f t="shared" si="13"/>
        <v>0</v>
      </c>
      <c r="AW108" s="117">
        <f t="shared" si="14"/>
        <v>0</v>
      </c>
      <c r="AX108" s="184">
        <f t="shared" si="15"/>
        <v>0</v>
      </c>
      <c r="AY108" s="117">
        <f t="shared" si="11"/>
        <v>0</v>
      </c>
      <c r="AZ108" s="117"/>
    </row>
    <row r="109" spans="44:52" s="14" customFormat="1" ht="14">
      <c r="AR109" s="117" t="str">
        <f t="shared" si="9"/>
        <v/>
      </c>
      <c r="AS109" s="183">
        <f t="shared" si="12"/>
        <v>0</v>
      </c>
      <c r="AT109" s="183"/>
      <c r="AU109" s="183">
        <f t="shared" si="10"/>
        <v>0</v>
      </c>
      <c r="AV109" s="183">
        <f t="shared" si="13"/>
        <v>0</v>
      </c>
      <c r="AW109" s="117">
        <f t="shared" si="14"/>
        <v>0</v>
      </c>
      <c r="AX109" s="184">
        <f t="shared" si="15"/>
        <v>0</v>
      </c>
      <c r="AY109" s="117">
        <f t="shared" si="11"/>
        <v>0</v>
      </c>
      <c r="AZ109" s="117"/>
    </row>
    <row r="110" spans="44:52" s="14" customFormat="1" ht="14">
      <c r="AR110" s="117" t="str">
        <f t="shared" si="9"/>
        <v/>
      </c>
      <c r="AS110" s="183">
        <f t="shared" si="12"/>
        <v>0</v>
      </c>
      <c r="AT110" s="183"/>
      <c r="AU110" s="183">
        <f t="shared" si="10"/>
        <v>0</v>
      </c>
      <c r="AV110" s="183">
        <f t="shared" si="13"/>
        <v>0</v>
      </c>
      <c r="AW110" s="117">
        <f t="shared" si="14"/>
        <v>0</v>
      </c>
      <c r="AX110" s="184">
        <f t="shared" si="15"/>
        <v>0</v>
      </c>
      <c r="AY110" s="117">
        <f t="shared" si="11"/>
        <v>0</v>
      </c>
      <c r="AZ110" s="117"/>
    </row>
    <row r="111" spans="44:52" s="14" customFormat="1" ht="14">
      <c r="AR111" s="117" t="str">
        <f t="shared" si="9"/>
        <v/>
      </c>
      <c r="AS111" s="183">
        <f t="shared" si="12"/>
        <v>0</v>
      </c>
      <c r="AT111" s="183"/>
      <c r="AU111" s="183">
        <f t="shared" si="10"/>
        <v>0</v>
      </c>
      <c r="AV111" s="183">
        <f t="shared" si="13"/>
        <v>0</v>
      </c>
      <c r="AW111" s="117">
        <f t="shared" si="14"/>
        <v>0</v>
      </c>
      <c r="AX111" s="184">
        <f t="shared" si="15"/>
        <v>0</v>
      </c>
      <c r="AY111" s="117">
        <f t="shared" si="11"/>
        <v>0</v>
      </c>
      <c r="AZ111" s="117"/>
    </row>
    <row r="112" spans="44:52" s="14" customFormat="1" ht="14">
      <c r="AR112" s="117" t="str">
        <f t="shared" si="9"/>
        <v/>
      </c>
      <c r="AS112" s="183">
        <f t="shared" si="12"/>
        <v>0</v>
      </c>
      <c r="AT112" s="183"/>
      <c r="AU112" s="183">
        <f t="shared" si="10"/>
        <v>0</v>
      </c>
      <c r="AV112" s="183">
        <f t="shared" si="13"/>
        <v>0</v>
      </c>
      <c r="AW112" s="117">
        <f t="shared" si="14"/>
        <v>0</v>
      </c>
      <c r="AX112" s="184">
        <f t="shared" si="15"/>
        <v>0</v>
      </c>
      <c r="AY112" s="117">
        <f t="shared" si="11"/>
        <v>0</v>
      </c>
      <c r="AZ112" s="117"/>
    </row>
    <row r="113" spans="44:52" s="14" customFormat="1" ht="14">
      <c r="AR113" s="117" t="str">
        <f t="shared" si="9"/>
        <v/>
      </c>
      <c r="AS113" s="183">
        <f t="shared" si="12"/>
        <v>0</v>
      </c>
      <c r="AT113" s="183"/>
      <c r="AU113" s="183">
        <f t="shared" si="10"/>
        <v>0</v>
      </c>
      <c r="AV113" s="183">
        <f t="shared" si="13"/>
        <v>0</v>
      </c>
      <c r="AW113" s="117">
        <f t="shared" si="14"/>
        <v>0</v>
      </c>
      <c r="AX113" s="184">
        <f t="shared" si="15"/>
        <v>0</v>
      </c>
      <c r="AY113" s="117">
        <f t="shared" si="11"/>
        <v>0</v>
      </c>
      <c r="AZ113" s="117"/>
    </row>
    <row r="114" spans="44:52" s="14" customFormat="1" ht="14">
      <c r="AZ114" s="117"/>
    </row>
    <row r="115" spans="44:52" s="14" customFormat="1" ht="14">
      <c r="AZ115" s="117"/>
    </row>
    <row r="116" spans="44:52" s="14" customFormat="1" ht="14">
      <c r="AZ116" s="117"/>
    </row>
    <row r="117" spans="44:52" s="14" customFormat="1" ht="14">
      <c r="AZ117" s="117"/>
    </row>
    <row r="118" spans="44:52" ht="14">
      <c r="AZ118"/>
    </row>
  </sheetData>
  <mergeCells count="59">
    <mergeCell ref="G37:Q37"/>
    <mergeCell ref="R37:T37"/>
    <mergeCell ref="B35:B37"/>
    <mergeCell ref="D35:F35"/>
    <mergeCell ref="H35:I35"/>
    <mergeCell ref="J35:N35"/>
    <mergeCell ref="O35:P35"/>
    <mergeCell ref="D36:F36"/>
    <mergeCell ref="H36:I36"/>
    <mergeCell ref="J36:N36"/>
    <mergeCell ref="O36:P36"/>
    <mergeCell ref="D37:F37"/>
    <mergeCell ref="B23:E26"/>
    <mergeCell ref="Q25:Q28"/>
    <mergeCell ref="R29:V29"/>
    <mergeCell ref="R30:V30"/>
    <mergeCell ref="F31:F33"/>
    <mergeCell ref="R31:V31"/>
    <mergeCell ref="F21:F24"/>
    <mergeCell ref="R21:S22"/>
    <mergeCell ref="U21:W22"/>
    <mergeCell ref="Q18:Q19"/>
    <mergeCell ref="T18:U18"/>
    <mergeCell ref="V18:W18"/>
    <mergeCell ref="T19:U19"/>
    <mergeCell ref="V19:W19"/>
    <mergeCell ref="C16:C17"/>
    <mergeCell ref="D16:D17"/>
    <mergeCell ref="F16:F17"/>
    <mergeCell ref="G16:G17"/>
    <mergeCell ref="S16:T16"/>
    <mergeCell ref="T10:U10"/>
    <mergeCell ref="T11:U11"/>
    <mergeCell ref="Q13:Q16"/>
    <mergeCell ref="T13:U13"/>
    <mergeCell ref="B14:B18"/>
    <mergeCell ref="C14:C15"/>
    <mergeCell ref="D14:D15"/>
    <mergeCell ref="F14:F15"/>
    <mergeCell ref="G14:G15"/>
    <mergeCell ref="T14:U14"/>
    <mergeCell ref="B7:B11"/>
    <mergeCell ref="Q8:Q11"/>
    <mergeCell ref="T8:U8"/>
    <mergeCell ref="C9:D9"/>
    <mergeCell ref="T9:U9"/>
    <mergeCell ref="T15:U15"/>
    <mergeCell ref="C6:D6"/>
    <mergeCell ref="I6:J6"/>
    <mergeCell ref="L6:M6"/>
    <mergeCell ref="T6:U6"/>
    <mergeCell ref="V6:W6"/>
    <mergeCell ref="S2:T3"/>
    <mergeCell ref="B4:D5"/>
    <mergeCell ref="F4:G5"/>
    <mergeCell ref="T4:U4"/>
    <mergeCell ref="V4:W4"/>
    <mergeCell ref="T5:U5"/>
    <mergeCell ref="V5:W5"/>
  </mergeCells>
  <hyperlinks>
    <hyperlink ref="G37" r:id="rId1" location="Grantstructure"/>
  </hyperlinks>
  <pageMargins left="0.7" right="0.7" top="0.75" bottom="0.75" header="0.3" footer="0.3"/>
  <pageSetup orientation="portrait"/>
  <drawing r:id="rId2"/>
  <legacyDrawing r:id="rId3"/>
  <extLst>
    <ext xmlns:x14="http://schemas.microsoft.com/office/spreadsheetml/2009/9/main" uri="{CCE6A557-97BC-4b89-ADB6-D9C93CAAB3DF}">
      <x14:dataValidations xmlns:xm="http://schemas.microsoft.com/office/excel/2006/main" count="25">
        <x14:dataValidation type="list" allowBlank="1" showInputMessage="1">
          <x14:formula1>
            <xm:f>Parameters!$C$14:$G$14</xm:f>
          </x14:formula1>
          <xm:sqref>G10</xm:sqref>
        </x14:dataValidation>
        <x14:dataValidation type="list" allowBlank="1" showInputMessage="1">
          <x14:formula1>
            <xm:f>Parameters!$C$13:$G$13</xm:f>
          </x14:formula1>
          <xm:sqref>G8</xm:sqref>
        </x14:dataValidation>
        <x14:dataValidation type="list" allowBlank="1" showInputMessage="1">
          <x14:formula1>
            <xm:f>Parameters!$C$36:$G$36</xm:f>
          </x14:formula1>
          <xm:sqref>G18</xm:sqref>
        </x14:dataValidation>
        <x14:dataValidation type="list" allowBlank="1" showInputMessage="1">
          <x14:formula1>
            <xm:f>Parameters!$C$34:$G$34</xm:f>
          </x14:formula1>
          <xm:sqref>G16</xm:sqref>
        </x14:dataValidation>
        <x14:dataValidation type="list" allowBlank="1" showInputMessage="1">
          <x14:formula1>
            <xm:f>Parameters!$C$37:$G$37</xm:f>
          </x14:formula1>
          <xm:sqref>G14</xm:sqref>
        </x14:dataValidation>
        <x14:dataValidation type="list" allowBlank="1" showInputMessage="1">
          <x14:formula1>
            <xm:f>Parameters!$C$38:$G$38</xm:f>
          </x14:formula1>
          <xm:sqref>G11</xm:sqref>
        </x14:dataValidation>
        <x14:dataValidation type="list" allowBlank="1" showInputMessage="1">
          <x14:formula1>
            <xm:f>Parameters!$C$12:$G$12</xm:f>
          </x14:formula1>
          <xm:sqref>G9</xm:sqref>
        </x14:dataValidation>
        <x14:dataValidation type="list" allowBlank="1" showInputMessage="1">
          <x14:formula1>
            <xm:f>Parameters!$C$11:$G$11</xm:f>
          </x14:formula1>
          <xm:sqref>G7</xm:sqref>
        </x14:dataValidation>
        <x14:dataValidation type="list" allowBlank="1" showInputMessage="1">
          <x14:formula1>
            <xm:f>Parameters!$C$6:$G$6</xm:f>
          </x14:formula1>
          <xm:sqref>D14</xm:sqref>
        </x14:dataValidation>
        <x14:dataValidation type="list" allowBlank="1" showInputMessage="1">
          <x14:formula1>
            <xm:f>Parameters!$C$5:$G$5</xm:f>
          </x14:formula1>
          <xm:sqref>D11</xm:sqref>
        </x14:dataValidation>
        <x14:dataValidation type="list" allowBlank="1" showInputMessage="1">
          <x14:formula1>
            <xm:f>Parameters!$C$4:$G$4</xm:f>
          </x14:formula1>
          <xm:sqref>D10</xm:sqref>
        </x14:dataValidation>
        <x14:dataValidation type="list" allowBlank="1" showInputMessage="1">
          <x14:formula1>
            <xm:f>Parameters!$C$10:$G$10</xm:f>
          </x14:formula1>
          <xm:sqref>D7</xm:sqref>
        </x14:dataValidation>
        <x14:dataValidation type="list" allowBlank="1" showInputMessage="1">
          <x14:formula1>
            <xm:f>Parameters!$C$17:$G$17</xm:f>
          </x14:formula1>
          <xm:sqref>J17:K17</xm:sqref>
        </x14:dataValidation>
        <x14:dataValidation type="list" allowBlank="1" showInputMessage="1">
          <x14:formula1>
            <xm:f>Parameters!$C$20:$G$20</xm:f>
          </x14:formula1>
          <xm:sqref>J18:K18</xm:sqref>
        </x14:dataValidation>
        <x14:dataValidation type="list" allowBlank="1" showInputMessage="1">
          <x14:formula1>
            <xm:f>Parameters!$C$24:$G$24</xm:f>
          </x14:formula1>
          <xm:sqref>J16:K16</xm:sqref>
        </x14:dataValidation>
        <x14:dataValidation type="list" allowBlank="1" showInputMessage="1">
          <x14:formula1>
            <xm:f>Parameters!$C$21:$G$21</xm:f>
          </x14:formula1>
          <xm:sqref>J10</xm:sqref>
        </x14:dataValidation>
        <x14:dataValidation type="list" allowBlank="1" showInputMessage="1">
          <x14:formula1>
            <xm:f>Parameters!$D$26:$F$26</xm:f>
          </x14:formula1>
          <xm:sqref>K7</xm:sqref>
        </x14:dataValidation>
        <x14:dataValidation type="list" allowBlank="1" showInputMessage="1">
          <x14:formula1>
            <xm:f>Parameters!$C$26:$G$26</xm:f>
          </x14:formula1>
          <xm:sqref>J7</xm:sqref>
        </x14:dataValidation>
        <x14:dataValidation type="list" allowBlank="1" showInputMessage="1">
          <x14:formula1>
            <xm:f>Parameters!$D$19:$H$19</xm:f>
          </x14:formula1>
          <xm:sqref>K10</xm:sqref>
        </x14:dataValidation>
        <x14:dataValidation type="list" allowBlank="1" showInputMessage="1">
          <x14:formula1>
            <xm:f>Parameters!$C$19:$G$19</xm:f>
          </x14:formula1>
          <xm:sqref>J8</xm:sqref>
        </x14:dataValidation>
        <x14:dataValidation type="list" allowBlank="1" showInputMessage="1">
          <x14:formula1>
            <xm:f>Parameters!$C$28:$G$28</xm:f>
          </x14:formula1>
          <xm:sqref>J9</xm:sqref>
        </x14:dataValidation>
        <x14:dataValidation type="list" allowBlank="1" showInputMessage="1">
          <x14:formula1>
            <xm:f>Parameters!$C$27:$G$27</xm:f>
          </x14:formula1>
          <xm:sqref>J11 K9</xm:sqref>
        </x14:dataValidation>
        <x14:dataValidation type="list" allowBlank="1" showInputMessage="1">
          <x14:formula1>
            <xm:f>Parameters!$C$18:$G$18</xm:f>
          </x14:formula1>
          <xm:sqref>J15 K14</xm:sqref>
        </x14:dataValidation>
        <x14:dataValidation type="list" allowBlank="1" showInputMessage="1">
          <x14:formula1>
            <xm:f>Parameters!$C$25:$G$25</xm:f>
          </x14:formula1>
          <xm:sqref>J14 K15</xm:sqref>
        </x14:dataValidation>
        <x14:dataValidation type="list" allowBlank="1" showInputMessage="1">
          <x14:formula1>
            <xm:f>Parameters!$C$7:$G$7</xm:f>
          </x14:formula1>
          <xm:sqref>D16:D17</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8"/>
  <sheetViews>
    <sheetView topLeftCell="A3" workbookViewId="0">
      <selection activeCell="B4" sqref="B4:D5"/>
    </sheetView>
  </sheetViews>
  <sheetFormatPr baseColWidth="10" defaultColWidth="8.83203125" defaultRowHeight="11" x14ac:dyDescent="0"/>
  <cols>
    <col min="1" max="1" width="1.5" style="1" customWidth="1"/>
    <col min="2" max="2" width="9.33203125" style="1" customWidth="1"/>
    <col min="3" max="3" width="14.5" style="1" customWidth="1"/>
    <col min="4" max="4" width="5.83203125" style="1" customWidth="1"/>
    <col min="5" max="5" width="1.83203125" style="1" customWidth="1"/>
    <col min="6" max="6" width="18" style="1" customWidth="1"/>
    <col min="7" max="7" width="13.5" style="1" customWidth="1"/>
    <col min="8" max="8" width="1.33203125" style="1" customWidth="1"/>
    <col min="9" max="9" width="16.33203125" style="1" customWidth="1"/>
    <col min="10" max="10" width="8.5" style="1" customWidth="1"/>
    <col min="11" max="11" width="1.6640625" style="1" customWidth="1"/>
    <col min="12" max="12" width="22.83203125" style="1" customWidth="1"/>
    <col min="13" max="13" width="8.5" style="1" customWidth="1"/>
    <col min="14" max="14" width="0.83203125" style="1" customWidth="1"/>
    <col min="15" max="15" width="2.83203125" style="1" customWidth="1"/>
    <col min="16" max="16" width="2.6640625" style="1" customWidth="1"/>
    <col min="17" max="17" width="15.5" style="1" customWidth="1"/>
    <col min="18" max="18" width="30.83203125" style="1" customWidth="1"/>
    <col min="19" max="19" width="23.5" style="1" customWidth="1"/>
    <col min="20" max="20" width="1" style="1" customWidth="1"/>
    <col min="21" max="21" width="24.33203125" style="1" customWidth="1"/>
    <col min="22" max="22" width="10.6640625" style="1" customWidth="1"/>
    <col min="23" max="23" width="12.5" style="1" customWidth="1"/>
    <col min="24" max="24" width="13.6640625" style="1" customWidth="1"/>
    <col min="25" max="25" width="12.83203125" style="1" customWidth="1"/>
    <col min="26" max="16384" width="8.83203125" style="1"/>
  </cols>
  <sheetData>
    <row r="1" spans="1:53" ht="6" customHeight="1" thickBot="1">
      <c r="A1" s="54"/>
      <c r="B1" s="14"/>
      <c r="C1" s="14"/>
      <c r="D1" s="14"/>
      <c r="E1" s="14"/>
      <c r="F1" s="14"/>
      <c r="G1" s="14"/>
      <c r="H1" s="14"/>
      <c r="I1" s="14"/>
      <c r="J1" s="14"/>
      <c r="K1" s="14"/>
      <c r="L1" s="14"/>
      <c r="M1" s="14"/>
      <c r="N1" s="14"/>
      <c r="O1" s="14"/>
      <c r="P1" s="14"/>
      <c r="Q1" s="14"/>
      <c r="R1" s="25"/>
      <c r="S1" s="14"/>
      <c r="T1" s="14"/>
      <c r="U1" s="14"/>
      <c r="V1" s="14"/>
      <c r="W1" s="14"/>
      <c r="X1" s="14"/>
      <c r="Y1" s="14"/>
      <c r="Z1" s="14"/>
      <c r="AA1" s="14"/>
      <c r="AB1" s="14"/>
      <c r="AC1" s="14"/>
      <c r="AD1" s="14"/>
      <c r="AE1" s="14"/>
      <c r="AF1" s="14"/>
      <c r="AG1" s="14"/>
      <c r="AH1" s="14"/>
      <c r="AI1" s="14"/>
      <c r="AJ1" s="14"/>
      <c r="AK1" s="14"/>
      <c r="AL1" s="14"/>
      <c r="AM1" s="14"/>
      <c r="AN1" s="14"/>
      <c r="AO1" s="14"/>
      <c r="AP1" s="14"/>
    </row>
    <row r="2" spans="1:53" ht="10.25" customHeight="1">
      <c r="A2" s="14"/>
      <c r="B2" s="14"/>
      <c r="C2" s="222"/>
      <c r="D2" s="17"/>
      <c r="E2" s="17"/>
      <c r="F2" s="17"/>
      <c r="G2" s="17"/>
      <c r="H2" s="17"/>
      <c r="I2" s="17"/>
      <c r="J2" s="54"/>
      <c r="K2" s="54"/>
      <c r="L2" s="54"/>
      <c r="M2" s="54"/>
      <c r="N2" s="14"/>
      <c r="O2" s="14"/>
      <c r="P2" s="14"/>
      <c r="Q2" s="14"/>
      <c r="S2" s="302" t="s">
        <v>233</v>
      </c>
      <c r="T2" s="303"/>
      <c r="U2" s="195"/>
      <c r="V2" s="195"/>
      <c r="W2" s="195"/>
      <c r="X2" s="14"/>
      <c r="Y2" s="14"/>
      <c r="Z2" s="14"/>
      <c r="AA2" s="14"/>
      <c r="AB2" s="14"/>
      <c r="AC2" s="14"/>
      <c r="AD2" s="14"/>
      <c r="AE2" s="14"/>
      <c r="AF2" s="14"/>
      <c r="AG2" s="14"/>
      <c r="AH2" s="14"/>
      <c r="AI2" s="14"/>
      <c r="AJ2" s="14"/>
      <c r="AK2" s="14"/>
      <c r="AL2" s="14"/>
      <c r="AM2" s="14"/>
      <c r="AN2" s="14"/>
      <c r="AO2" s="14"/>
      <c r="AP2" s="14"/>
      <c r="AR2" t="s">
        <v>133</v>
      </c>
      <c r="AS2" t="s">
        <v>134</v>
      </c>
      <c r="AT2" t="s">
        <v>135</v>
      </c>
      <c r="AU2" t="s">
        <v>136</v>
      </c>
      <c r="AV2" t="s">
        <v>137</v>
      </c>
      <c r="AW2" t="s">
        <v>138</v>
      </c>
      <c r="AX2" t="s">
        <v>139</v>
      </c>
      <c r="AY2" t="s">
        <v>168</v>
      </c>
      <c r="AZ2" t="s">
        <v>141</v>
      </c>
    </row>
    <row r="3" spans="1:53" ht="10.25" customHeight="1" thickBot="1">
      <c r="A3" s="14"/>
      <c r="B3" s="222"/>
      <c r="C3" s="222"/>
      <c r="D3" s="17"/>
      <c r="E3" s="17"/>
      <c r="F3" s="17"/>
      <c r="G3" s="17"/>
      <c r="H3" s="17"/>
      <c r="I3" s="17"/>
      <c r="J3" s="54"/>
      <c r="K3" s="54"/>
      <c r="L3" s="54"/>
      <c r="M3" s="54"/>
      <c r="N3" s="14"/>
      <c r="O3" s="14"/>
      <c r="P3" s="14"/>
      <c r="Q3" s="14"/>
      <c r="R3" s="195"/>
      <c r="S3" s="304"/>
      <c r="T3" s="305"/>
      <c r="U3" s="195"/>
      <c r="V3" s="195"/>
      <c r="W3" s="195"/>
      <c r="X3" s="14"/>
      <c r="Y3" s="14"/>
      <c r="Z3" s="14"/>
      <c r="AA3" s="14"/>
      <c r="AB3" s="14"/>
      <c r="AC3" s="14"/>
      <c r="AD3" s="14"/>
      <c r="AE3" s="14"/>
      <c r="AF3" s="14"/>
      <c r="AG3" s="14"/>
      <c r="AH3" s="14"/>
      <c r="AI3" s="14"/>
      <c r="AJ3" s="14"/>
      <c r="AK3" s="14"/>
      <c r="AL3" s="14"/>
      <c r="AM3" s="14"/>
      <c r="AN3" s="14"/>
      <c r="AO3" s="14"/>
      <c r="AP3" s="14"/>
      <c r="AR3"/>
      <c r="AS3"/>
      <c r="AT3"/>
      <c r="AU3"/>
      <c r="AV3"/>
      <c r="AW3"/>
      <c r="AX3"/>
      <c r="AY3"/>
      <c r="AZ3"/>
    </row>
    <row r="4" spans="1:53" ht="40.75" customHeight="1">
      <c r="A4" s="14"/>
      <c r="B4" s="317" t="s">
        <v>295</v>
      </c>
      <c r="C4" s="317"/>
      <c r="D4" s="317"/>
      <c r="E4" s="224"/>
      <c r="F4" s="313" t="s">
        <v>232</v>
      </c>
      <c r="G4" s="314"/>
      <c r="H4" s="17"/>
      <c r="I4" s="14"/>
      <c r="J4" s="14"/>
      <c r="K4" s="14"/>
      <c r="L4" s="14"/>
      <c r="M4" s="14"/>
      <c r="N4" s="77"/>
      <c r="O4" s="77"/>
      <c r="P4" s="77"/>
      <c r="Q4" s="189"/>
      <c r="R4" s="285" t="s">
        <v>213</v>
      </c>
      <c r="S4" s="285" t="s">
        <v>30</v>
      </c>
      <c r="T4" s="298" t="s">
        <v>214</v>
      </c>
      <c r="U4" s="298"/>
      <c r="V4" s="298" t="s">
        <v>215</v>
      </c>
      <c r="W4" s="299"/>
      <c r="X4" s="14"/>
      <c r="Y4" s="14"/>
      <c r="Z4" s="14"/>
      <c r="AA4" s="14"/>
      <c r="AB4" s="14"/>
      <c r="AC4" s="14"/>
      <c r="AD4" s="14"/>
      <c r="AE4" s="14"/>
      <c r="AF4" s="14"/>
      <c r="AG4" s="14"/>
      <c r="AH4" s="14"/>
      <c r="AI4" s="14"/>
      <c r="AJ4" s="14"/>
      <c r="AK4" s="14"/>
      <c r="AL4" s="14"/>
      <c r="AM4" s="14"/>
      <c r="AN4" s="14"/>
      <c r="AO4" s="14"/>
      <c r="AP4" s="14"/>
      <c r="AR4">
        <v>0</v>
      </c>
      <c r="AS4" s="85">
        <f>Q36</f>
        <v>288</v>
      </c>
      <c r="AT4" s="85">
        <f>(1-$D$11)*AS4</f>
        <v>144</v>
      </c>
      <c r="AU4" s="85"/>
      <c r="AV4"/>
      <c r="AW4">
        <f>IF(ISNUMBER(AR5),SUM(AT4:AU4),SUM(AT4:AV4))</f>
        <v>144</v>
      </c>
      <c r="AX4" s="86">
        <f t="shared" ref="AX4:AX30" si="0">LN(AW4+$J$36)-LN($J$36)</f>
        <v>0.407887093456063</v>
      </c>
      <c r="AY4">
        <f>IF(ISNUMBER(AR4),AX4/(1+$D$7)^AR4,0)</f>
        <v>0.407887093456063</v>
      </c>
      <c r="AZ4"/>
    </row>
    <row r="5" spans="1:53" ht="10.75" customHeight="1" thickBot="1">
      <c r="A5" s="14"/>
      <c r="B5" s="318"/>
      <c r="C5" s="318"/>
      <c r="D5" s="318"/>
      <c r="E5" s="223"/>
      <c r="F5" s="315"/>
      <c r="G5" s="316"/>
      <c r="H5" s="27"/>
      <c r="I5" s="27"/>
      <c r="J5" s="14"/>
      <c r="K5" s="14"/>
      <c r="L5" s="14"/>
      <c r="M5" s="14"/>
      <c r="N5" s="14"/>
      <c r="O5" s="14"/>
      <c r="P5" s="14"/>
      <c r="Q5" s="276" t="s">
        <v>236</v>
      </c>
      <c r="R5" s="279">
        <f>D36/(1+D7)^10</f>
        <v>0.1553200531458121</v>
      </c>
      <c r="S5" s="279">
        <f>R5*(1-1/(1+D7)^G16)/(1-1/(1+D7))</f>
        <v>2.2985258299838089</v>
      </c>
      <c r="T5" s="300">
        <f>S5*G7*G9*G18*G8/G36</f>
        <v>3.2202730440519689E-2</v>
      </c>
      <c r="U5" s="300"/>
      <c r="V5" s="300">
        <f>G14*G11</f>
        <v>1.4225376031442574E-4</v>
      </c>
      <c r="W5" s="301"/>
      <c r="X5" s="14"/>
      <c r="Y5" s="14"/>
      <c r="Z5" s="14"/>
      <c r="AA5" s="14"/>
      <c r="AB5" s="14"/>
      <c r="AC5" s="14"/>
      <c r="AD5" s="14"/>
      <c r="AE5" s="14"/>
      <c r="AF5" s="14"/>
      <c r="AG5" s="14"/>
      <c r="AH5" s="14"/>
      <c r="AI5" s="14"/>
      <c r="AJ5" s="14"/>
      <c r="AK5" s="14"/>
      <c r="AL5" s="14"/>
      <c r="AM5" s="14"/>
      <c r="AN5" s="14"/>
      <c r="AO5" s="14"/>
      <c r="AP5" s="14"/>
      <c r="AR5">
        <f t="shared" ref="AR5:AR68" si="1">IF(AR4&lt;$D$14,AR4+1,"")</f>
        <v>1</v>
      </c>
      <c r="AS5" s="85">
        <f>AS4-AT4</f>
        <v>144</v>
      </c>
      <c r="AT5" s="85"/>
      <c r="AU5" s="85">
        <f t="shared" ref="AU5:AU70" si="2">$D$10*AS5</f>
        <v>21.599999999999998</v>
      </c>
      <c r="AV5" s="85">
        <f>AS5</f>
        <v>144</v>
      </c>
      <c r="AW5">
        <f t="shared" ref="AW5:AW14" si="3">IF(ISNUMBER(AR6),SUM(AT5:AU5),SUM(AT5:AV5))</f>
        <v>21.599999999999998</v>
      </c>
      <c r="AX5" s="86">
        <f t="shared" si="0"/>
        <v>7.2828074370809404E-2</v>
      </c>
      <c r="AY5">
        <f t="shared" ref="AY5:AY70" si="4">IF(ISNUMBER(AR5),AX5/(1+$D$7)^AR5,0)</f>
        <v>6.9360070829342285E-2</v>
      </c>
      <c r="AZ5">
        <f>SUM(AY5:AY113)</f>
        <v>0.94067933470164244</v>
      </c>
      <c r="BA5" s="1">
        <f>SUM(AY5:AY23)</f>
        <v>0.94067933470164244</v>
      </c>
    </row>
    <row r="6" spans="1:53" ht="14">
      <c r="A6" s="14"/>
      <c r="B6" s="10"/>
      <c r="C6" s="311" t="s">
        <v>12</v>
      </c>
      <c r="D6" s="311"/>
      <c r="E6" s="49"/>
      <c r="F6" s="23" t="s">
        <v>13</v>
      </c>
      <c r="G6" s="24"/>
      <c r="H6" s="50"/>
      <c r="I6" s="311" t="s">
        <v>40</v>
      </c>
      <c r="J6" s="311"/>
      <c r="K6" s="159"/>
      <c r="L6" s="312" t="s">
        <v>210</v>
      </c>
      <c r="M6" s="312"/>
      <c r="N6" s="11"/>
      <c r="O6" s="6"/>
      <c r="P6" s="14"/>
      <c r="Q6" s="276" t="s">
        <v>237</v>
      </c>
      <c r="R6" s="279">
        <f>(M15*M11)/(1+D7)^10</f>
        <v>1.7680701701973868E-2</v>
      </c>
      <c r="S6" s="279">
        <f>R6*(1-1/(1+D7)^G16)/(1-1/(1+D7))</f>
        <v>0.26165037116021228</v>
      </c>
      <c r="T6" s="300">
        <f>S6*M8*M9*M14*(W36/V36)</f>
        <v>3.368103124438871E-3</v>
      </c>
      <c r="U6" s="300"/>
      <c r="V6" s="300">
        <v>0</v>
      </c>
      <c r="W6" s="301"/>
      <c r="X6" s="14"/>
      <c r="Y6" s="14"/>
      <c r="Z6" s="14"/>
      <c r="AA6" s="14"/>
      <c r="AB6" s="14"/>
      <c r="AC6" s="14"/>
      <c r="AD6" s="14"/>
      <c r="AE6" s="14"/>
      <c r="AF6" s="14"/>
      <c r="AG6" s="14"/>
      <c r="AH6" s="14"/>
      <c r="AI6" s="14"/>
      <c r="AJ6" s="14"/>
      <c r="AK6" s="14"/>
      <c r="AL6" s="14"/>
      <c r="AM6" s="14"/>
      <c r="AN6" s="14"/>
      <c r="AO6" s="14"/>
      <c r="AP6" s="14"/>
      <c r="AR6">
        <f t="shared" si="1"/>
        <v>2</v>
      </c>
      <c r="AS6" s="85">
        <f t="shared" ref="AS6:AS71" si="5">IF(ISNUMBER(AR6),AV5,0)</f>
        <v>144</v>
      </c>
      <c r="AT6" s="85"/>
      <c r="AU6" s="85">
        <f t="shared" si="2"/>
        <v>21.599999999999998</v>
      </c>
      <c r="AV6" s="85">
        <f t="shared" ref="AV6:AV71" si="6">AS6</f>
        <v>144</v>
      </c>
      <c r="AW6">
        <f t="shared" si="3"/>
        <v>21.599999999999998</v>
      </c>
      <c r="AX6" s="86">
        <f t="shared" si="0"/>
        <v>7.2828074370809404E-2</v>
      </c>
      <c r="AY6">
        <f t="shared" si="4"/>
        <v>6.6057210313659326E-2</v>
      </c>
      <c r="AZ6"/>
    </row>
    <row r="7" spans="1:53" ht="20.5" customHeight="1">
      <c r="A7" s="14"/>
      <c r="B7" s="306" t="s">
        <v>47</v>
      </c>
      <c r="C7" s="139" t="s">
        <v>0</v>
      </c>
      <c r="D7" s="179">
        <v>0.05</v>
      </c>
      <c r="E7" s="2"/>
      <c r="F7" s="174" t="s">
        <v>4</v>
      </c>
      <c r="G7" s="175">
        <v>0.30254930254930251</v>
      </c>
      <c r="H7" s="4"/>
      <c r="I7" s="174" t="s">
        <v>8</v>
      </c>
      <c r="J7" s="175">
        <v>0.28566565514135123</v>
      </c>
      <c r="K7" s="160"/>
      <c r="L7" s="174" t="s">
        <v>217</v>
      </c>
      <c r="M7" s="180">
        <v>0.15</v>
      </c>
      <c r="N7" s="12"/>
      <c r="O7" s="6"/>
      <c r="P7" s="14"/>
      <c r="Q7" s="15"/>
      <c r="R7" s="6"/>
      <c r="S7" s="6"/>
      <c r="T7" s="6"/>
      <c r="U7" s="164"/>
      <c r="V7" s="6"/>
      <c r="W7" s="12"/>
      <c r="X7" s="14"/>
      <c r="Y7" s="14"/>
      <c r="Z7" s="14"/>
      <c r="AA7" s="14"/>
      <c r="AB7" s="14"/>
      <c r="AC7" s="14"/>
      <c r="AD7" s="14"/>
      <c r="AE7" s="14"/>
      <c r="AF7" s="14"/>
      <c r="AG7" s="14"/>
      <c r="AH7" s="14"/>
      <c r="AI7" s="14"/>
      <c r="AJ7" s="14"/>
      <c r="AK7" s="14"/>
      <c r="AL7" s="14"/>
      <c r="AM7" s="14"/>
      <c r="AN7" s="14"/>
      <c r="AO7" s="14"/>
      <c r="AP7" s="14"/>
      <c r="AR7">
        <f t="shared" si="1"/>
        <v>3</v>
      </c>
      <c r="AS7" s="85">
        <f>IF(ISNUMBER(AR7),AV6,0)</f>
        <v>144</v>
      </c>
      <c r="AT7" s="85"/>
      <c r="AU7" s="85">
        <f t="shared" si="2"/>
        <v>21.599999999999998</v>
      </c>
      <c r="AV7" s="85">
        <f t="shared" si="6"/>
        <v>144</v>
      </c>
      <c r="AW7">
        <f t="shared" si="3"/>
        <v>21.599999999999998</v>
      </c>
      <c r="AX7" s="86">
        <f t="shared" si="0"/>
        <v>7.2828074370809404E-2</v>
      </c>
      <c r="AY7">
        <f t="shared" si="4"/>
        <v>6.2911628870151726E-2</v>
      </c>
      <c r="AZ7"/>
    </row>
    <row r="8" spans="1:53" ht="20.5" customHeight="1">
      <c r="A8" s="14"/>
      <c r="B8" s="306"/>
      <c r="C8" s="127"/>
      <c r="D8" s="127"/>
      <c r="E8" s="51"/>
      <c r="F8" s="178" t="s">
        <v>6</v>
      </c>
      <c r="G8" s="13">
        <v>0.6</v>
      </c>
      <c r="H8" s="5"/>
      <c r="I8" s="153" t="s">
        <v>9</v>
      </c>
      <c r="J8" s="154">
        <v>0.28968942705046552</v>
      </c>
      <c r="K8" s="161"/>
      <c r="L8" s="153" t="s">
        <v>211</v>
      </c>
      <c r="M8" s="154">
        <v>0.8</v>
      </c>
      <c r="N8" s="12"/>
      <c r="O8" s="6"/>
      <c r="P8" s="14"/>
      <c r="Q8" s="309" t="s">
        <v>238</v>
      </c>
      <c r="R8" s="6"/>
      <c r="S8" s="280" t="s">
        <v>31</v>
      </c>
      <c r="T8" s="319" t="s">
        <v>34</v>
      </c>
      <c r="U8" s="319"/>
      <c r="V8" s="97"/>
      <c r="W8" s="12"/>
      <c r="X8" s="14"/>
      <c r="Y8" s="14"/>
      <c r="Z8" s="14"/>
      <c r="AA8" s="14"/>
      <c r="AB8" s="14"/>
      <c r="AC8" s="14"/>
      <c r="AD8" s="14"/>
      <c r="AE8" s="14"/>
      <c r="AF8" s="14"/>
      <c r="AG8" s="14"/>
      <c r="AH8" s="14"/>
      <c r="AI8" s="14"/>
      <c r="AJ8" s="14"/>
      <c r="AK8" s="14"/>
      <c r="AL8" s="14"/>
      <c r="AM8" s="14"/>
      <c r="AN8" s="14"/>
      <c r="AO8" s="14"/>
      <c r="AP8" s="14"/>
      <c r="AR8">
        <f t="shared" si="1"/>
        <v>4</v>
      </c>
      <c r="AS8" s="85">
        <f t="shared" si="5"/>
        <v>144</v>
      </c>
      <c r="AT8" s="85"/>
      <c r="AU8" s="85">
        <f t="shared" si="2"/>
        <v>21.599999999999998</v>
      </c>
      <c r="AV8" s="85">
        <f t="shared" si="6"/>
        <v>144</v>
      </c>
      <c r="AW8">
        <f t="shared" si="3"/>
        <v>21.599999999999998</v>
      </c>
      <c r="AX8" s="86">
        <f t="shared" si="0"/>
        <v>7.2828074370809404E-2</v>
      </c>
      <c r="AY8">
        <f t="shared" si="4"/>
        <v>5.9915837019192127E-2</v>
      </c>
      <c r="AZ8"/>
    </row>
    <row r="9" spans="1:53" ht="33">
      <c r="A9" s="14"/>
      <c r="B9" s="306"/>
      <c r="C9" s="307" t="s">
        <v>14</v>
      </c>
      <c r="D9" s="307"/>
      <c r="E9" s="2"/>
      <c r="F9" s="153" t="s">
        <v>177</v>
      </c>
      <c r="G9" s="154">
        <v>0.62</v>
      </c>
      <c r="H9" s="5"/>
      <c r="I9" s="153" t="s">
        <v>204</v>
      </c>
      <c r="J9" s="154">
        <v>1</v>
      </c>
      <c r="K9" s="161"/>
      <c r="L9" s="153" t="s">
        <v>212</v>
      </c>
      <c r="M9" s="154">
        <v>0.7</v>
      </c>
      <c r="N9" s="12"/>
      <c r="O9" s="6"/>
      <c r="P9" s="14"/>
      <c r="Q9" s="309"/>
      <c r="R9" s="21" t="s">
        <v>46</v>
      </c>
      <c r="S9" s="125">
        <f>($V$5+$T$5*J14)*J7*J11</f>
        <v>7.3918808818143463E-3</v>
      </c>
      <c r="T9" s="310">
        <f>J12*S9/(J16/J9)</f>
        <v>1.9711682351504927E-2</v>
      </c>
      <c r="U9" s="308"/>
      <c r="V9" s="99"/>
      <c r="W9" s="12"/>
      <c r="X9" s="14"/>
      <c r="Y9" s="14"/>
      <c r="Z9" s="14"/>
      <c r="AA9" s="14"/>
      <c r="AB9" s="14"/>
      <c r="AC9" s="14"/>
      <c r="AD9" s="14"/>
      <c r="AE9" s="14"/>
      <c r="AF9" s="14"/>
      <c r="AG9" s="14"/>
      <c r="AH9" s="14"/>
      <c r="AI9" s="14"/>
      <c r="AJ9" s="14"/>
      <c r="AK9" s="14"/>
      <c r="AL9" s="14"/>
      <c r="AM9" s="14"/>
      <c r="AN9" s="14"/>
      <c r="AO9" s="14"/>
      <c r="AP9" s="14"/>
      <c r="AR9">
        <f t="shared" si="1"/>
        <v>5</v>
      </c>
      <c r="AS9" s="85">
        <f t="shared" si="5"/>
        <v>144</v>
      </c>
      <c r="AT9" s="85"/>
      <c r="AU9" s="85">
        <f t="shared" si="2"/>
        <v>21.599999999999998</v>
      </c>
      <c r="AV9" s="85">
        <f t="shared" si="6"/>
        <v>144</v>
      </c>
      <c r="AW9">
        <f>IF(ISNUMBER(AR10),SUM(AT9:AU9),SUM(AT9:AV9))</f>
        <v>21.599999999999998</v>
      </c>
      <c r="AX9" s="86">
        <f t="shared" si="0"/>
        <v>7.2828074370809404E-2</v>
      </c>
      <c r="AY9">
        <f t="shared" si="4"/>
        <v>5.7062701923040117E-2</v>
      </c>
      <c r="AZ9"/>
    </row>
    <row r="10" spans="1:53" ht="26.5" customHeight="1">
      <c r="A10" s="14"/>
      <c r="B10" s="306"/>
      <c r="C10" s="121" t="s">
        <v>3</v>
      </c>
      <c r="D10" s="122">
        <v>0.15</v>
      </c>
      <c r="E10" s="112"/>
      <c r="F10" s="126" t="s">
        <v>176</v>
      </c>
      <c r="G10" s="140">
        <v>0.15</v>
      </c>
      <c r="H10" s="113"/>
      <c r="I10" s="153" t="s">
        <v>205</v>
      </c>
      <c r="J10" s="154">
        <v>1</v>
      </c>
      <c r="K10" s="161"/>
      <c r="L10" s="153" t="s">
        <v>227</v>
      </c>
      <c r="M10" s="154">
        <v>1</v>
      </c>
      <c r="N10" s="12"/>
      <c r="O10" s="6"/>
      <c r="P10" s="14"/>
      <c r="Q10" s="309"/>
      <c r="R10" s="21" t="s">
        <v>45</v>
      </c>
      <c r="S10" s="283">
        <f>($V$5+$T$5*J15)*J8*J18</f>
        <v>8.4371208880185209E-3</v>
      </c>
      <c r="T10" s="308">
        <f>S10/(J17/J10)</f>
        <v>6.8594478764378219E-3</v>
      </c>
      <c r="U10" s="308"/>
      <c r="V10" s="99"/>
      <c r="W10" s="12"/>
      <c r="X10" s="14"/>
      <c r="Y10" s="14"/>
      <c r="Z10" s="14"/>
      <c r="AA10" s="14"/>
      <c r="AB10" s="14"/>
      <c r="AC10" s="14"/>
      <c r="AD10" s="14"/>
      <c r="AE10" s="14"/>
      <c r="AF10" s="14"/>
      <c r="AG10" s="14"/>
      <c r="AH10" s="14"/>
      <c r="AI10" s="14"/>
      <c r="AJ10" s="14"/>
      <c r="AK10" s="14"/>
      <c r="AL10" s="14"/>
      <c r="AM10" s="14"/>
      <c r="AN10" s="14"/>
      <c r="AO10" s="14"/>
      <c r="AP10" s="14"/>
      <c r="AR10">
        <f t="shared" si="1"/>
        <v>6</v>
      </c>
      <c r="AS10" s="85">
        <f>IF(ISNUMBER(AR10),AV9,0)</f>
        <v>144</v>
      </c>
      <c r="AT10" s="85"/>
      <c r="AU10" s="85">
        <f t="shared" si="2"/>
        <v>21.599999999999998</v>
      </c>
      <c r="AV10" s="85">
        <f t="shared" si="6"/>
        <v>144</v>
      </c>
      <c r="AW10">
        <f>IF(ISNUMBER(AR11),SUM(AT10:AU10),SUM(AT10:AV10))</f>
        <v>21.599999999999998</v>
      </c>
      <c r="AX10" s="86">
        <f t="shared" si="0"/>
        <v>7.2828074370809404E-2</v>
      </c>
      <c r="AY10">
        <f t="shared" si="4"/>
        <v>5.4345430402895356E-2</v>
      </c>
      <c r="AZ10"/>
    </row>
    <row r="11" spans="1:53" ht="33" customHeight="1">
      <c r="A11" s="14"/>
      <c r="B11" s="306"/>
      <c r="C11" s="134" t="s">
        <v>5</v>
      </c>
      <c r="D11" s="135">
        <v>0.5</v>
      </c>
      <c r="E11" s="3"/>
      <c r="F11" s="153" t="s">
        <v>186</v>
      </c>
      <c r="G11" s="136">
        <f>3/45</f>
        <v>6.6666666666666666E-2</v>
      </c>
      <c r="H11" s="6"/>
      <c r="I11" s="153" t="s">
        <v>107</v>
      </c>
      <c r="J11" s="154">
        <v>0.8</v>
      </c>
      <c r="K11" s="161"/>
      <c r="L11" s="153" t="s">
        <v>226</v>
      </c>
      <c r="M11" s="154">
        <v>0.8</v>
      </c>
      <c r="N11" s="12"/>
      <c r="O11" s="14"/>
      <c r="P11" s="14"/>
      <c r="Q11" s="309"/>
      <c r="R11" s="21" t="s">
        <v>216</v>
      </c>
      <c r="S11" s="283">
        <f>T6*M12</f>
        <v>2.2229480621296549E-3</v>
      </c>
      <c r="T11" s="310">
        <f>M13*S11/(M7/M10)</f>
        <v>7.409826873765517E-3</v>
      </c>
      <c r="U11" s="308"/>
      <c r="V11" s="99"/>
      <c r="W11" s="12"/>
      <c r="X11" s="14"/>
      <c r="Y11" s="14"/>
      <c r="Z11" s="14"/>
      <c r="AA11" s="14"/>
      <c r="AB11" s="14"/>
      <c r="AC11" s="14"/>
      <c r="AD11" s="14"/>
      <c r="AE11" s="14"/>
      <c r="AF11" s="14"/>
      <c r="AG11" s="14"/>
      <c r="AH11" s="14"/>
      <c r="AI11" s="14"/>
      <c r="AJ11" s="14"/>
      <c r="AK11" s="14"/>
      <c r="AL11" s="14"/>
      <c r="AM11" s="14"/>
      <c r="AN11" s="14"/>
      <c r="AO11" s="14"/>
      <c r="AP11" s="14"/>
      <c r="AR11">
        <f t="shared" si="1"/>
        <v>7</v>
      </c>
      <c r="AS11" s="85">
        <f>IF(ISNUMBER(AR11),AV10,0)</f>
        <v>144</v>
      </c>
      <c r="AT11" s="85"/>
      <c r="AU11" s="85">
        <f t="shared" si="2"/>
        <v>21.599999999999998</v>
      </c>
      <c r="AV11" s="85">
        <f t="shared" si="6"/>
        <v>144</v>
      </c>
      <c r="AW11">
        <f>IF(ISNUMBER(AR12),SUM(AT11:AU11),SUM(AT11:AV11))</f>
        <v>21.599999999999998</v>
      </c>
      <c r="AX11" s="86">
        <f t="shared" si="0"/>
        <v>7.2828074370809404E-2</v>
      </c>
      <c r="AY11">
        <f t="shared" si="4"/>
        <v>5.1757552764662235E-2</v>
      </c>
      <c r="AZ11"/>
    </row>
    <row r="12" spans="1:53" ht="24" customHeight="1">
      <c r="A12" s="14"/>
      <c r="B12" s="15"/>
      <c r="C12" s="9"/>
      <c r="D12" s="8"/>
      <c r="E12" s="2"/>
      <c r="F12" s="52"/>
      <c r="G12" s="53"/>
      <c r="H12" s="9"/>
      <c r="I12" s="153" t="s">
        <v>330</v>
      </c>
      <c r="J12" s="154">
        <v>0.8</v>
      </c>
      <c r="K12" s="6"/>
      <c r="L12" s="153" t="s">
        <v>219</v>
      </c>
      <c r="M12" s="154">
        <v>0.66</v>
      </c>
      <c r="N12" s="12"/>
      <c r="O12" s="6"/>
      <c r="P12" s="14"/>
      <c r="Q12" s="123"/>
      <c r="R12" s="21"/>
      <c r="S12" s="124"/>
      <c r="T12" s="99"/>
      <c r="U12" s="99"/>
      <c r="V12" s="99"/>
      <c r="W12" s="12"/>
      <c r="X12" s="14"/>
      <c r="Y12" s="14"/>
      <c r="Z12" s="14"/>
      <c r="AA12" s="14"/>
      <c r="AB12" s="14"/>
      <c r="AC12" s="14"/>
      <c r="AD12" s="14"/>
      <c r="AE12" s="14"/>
      <c r="AF12" s="14"/>
      <c r="AG12" s="14"/>
      <c r="AH12" s="14"/>
      <c r="AI12" s="14"/>
      <c r="AJ12" s="14"/>
      <c r="AK12" s="14"/>
      <c r="AL12" s="14"/>
      <c r="AM12" s="14"/>
      <c r="AN12" s="14"/>
      <c r="AO12" s="14"/>
      <c r="AP12" s="14"/>
      <c r="AR12">
        <f t="shared" si="1"/>
        <v>8</v>
      </c>
      <c r="AS12" s="85">
        <f>IF(ISNUMBER(AR12),AV11,0)</f>
        <v>144</v>
      </c>
      <c r="AT12" s="85"/>
      <c r="AU12" s="85">
        <f t="shared" si="2"/>
        <v>21.599999999999998</v>
      </c>
      <c r="AV12" s="85">
        <f t="shared" si="6"/>
        <v>144</v>
      </c>
      <c r="AW12">
        <f>IF(ISNUMBER(AR13),SUM(AT12:AU12),SUM(AT12:AV12))</f>
        <v>21.599999999999998</v>
      </c>
      <c r="AX12" s="86">
        <f t="shared" si="0"/>
        <v>7.2828074370809404E-2</v>
      </c>
      <c r="AY12">
        <f t="shared" si="4"/>
        <v>4.9292907394916423E-2</v>
      </c>
      <c r="AZ12"/>
    </row>
    <row r="13" spans="1:53" ht="24" customHeight="1">
      <c r="A13" s="14"/>
      <c r="B13" s="15"/>
      <c r="C13" s="9"/>
      <c r="D13" s="8"/>
      <c r="E13" s="2"/>
      <c r="F13" s="52"/>
      <c r="G13" s="53"/>
      <c r="H13" s="6"/>
      <c r="I13" s="9"/>
      <c r="J13" s="8"/>
      <c r="K13" s="6"/>
      <c r="L13" s="153" t="s">
        <v>218</v>
      </c>
      <c r="M13" s="154">
        <v>0.5</v>
      </c>
      <c r="N13" s="12"/>
      <c r="O13" s="6"/>
      <c r="P13" s="14"/>
      <c r="Q13" s="309" t="s">
        <v>239</v>
      </c>
      <c r="R13" s="48"/>
      <c r="S13" s="280" t="s">
        <v>173</v>
      </c>
      <c r="T13" s="319" t="s">
        <v>174</v>
      </c>
      <c r="U13" s="319"/>
      <c r="V13" s="280" t="s">
        <v>175</v>
      </c>
      <c r="W13" s="282" t="s">
        <v>184</v>
      </c>
      <c r="X13" s="14"/>
      <c r="Y13" s="14"/>
      <c r="Z13" s="14"/>
      <c r="AA13" s="14"/>
      <c r="AB13" s="14"/>
      <c r="AC13" s="14"/>
      <c r="AD13" s="14"/>
      <c r="AE13" s="14"/>
      <c r="AF13" s="14"/>
      <c r="AG13" s="14"/>
      <c r="AH13" s="14"/>
      <c r="AI13" s="14"/>
      <c r="AJ13" s="14"/>
      <c r="AK13" s="14"/>
      <c r="AL13" s="14"/>
      <c r="AM13" s="14"/>
      <c r="AN13" s="14"/>
      <c r="AO13" s="14"/>
      <c r="AP13" s="14"/>
      <c r="AR13">
        <f t="shared" si="1"/>
        <v>9</v>
      </c>
      <c r="AS13" s="85">
        <f>IF(ISNUMBER(AR13),AV12,0)</f>
        <v>144</v>
      </c>
      <c r="AT13" s="85"/>
      <c r="AU13" s="85">
        <f t="shared" si="2"/>
        <v>21.599999999999998</v>
      </c>
      <c r="AV13" s="85">
        <f t="shared" si="6"/>
        <v>144</v>
      </c>
      <c r="AW13">
        <f t="shared" si="3"/>
        <v>21.599999999999998</v>
      </c>
      <c r="AX13" s="86">
        <f t="shared" si="0"/>
        <v>7.2828074370809404E-2</v>
      </c>
      <c r="AY13">
        <f t="shared" si="4"/>
        <v>4.694562609039659E-2</v>
      </c>
      <c r="AZ13"/>
    </row>
    <row r="14" spans="1:53" ht="21" customHeight="1">
      <c r="A14" s="14"/>
      <c r="B14" s="357" t="s">
        <v>296</v>
      </c>
      <c r="C14" s="358" t="s">
        <v>1</v>
      </c>
      <c r="D14" s="359">
        <v>15</v>
      </c>
      <c r="E14" s="3"/>
      <c r="F14" s="358" t="s">
        <v>2</v>
      </c>
      <c r="G14" s="359">
        <v>2.1338064047163861E-3</v>
      </c>
      <c r="H14" s="6"/>
      <c r="I14" s="128" t="s">
        <v>11</v>
      </c>
      <c r="J14" s="129">
        <v>1</v>
      </c>
      <c r="K14" s="162"/>
      <c r="L14" s="153" t="s">
        <v>220</v>
      </c>
      <c r="M14" s="154">
        <v>0.8</v>
      </c>
      <c r="N14" s="12"/>
      <c r="O14" s="6"/>
      <c r="P14" s="14"/>
      <c r="Q14" s="309"/>
      <c r="R14" s="21" t="s">
        <v>46</v>
      </c>
      <c r="S14" s="283">
        <f>(1000/(J16/J9))*J14*J11*G9*J12*G10*G7*J7*G8*G18*(1/G36)</f>
        <v>1.2807115195145669</v>
      </c>
      <c r="T14" s="325">
        <f>(((1000/(J16/J9))*G14)/U36)*J7*J11</f>
        <v>4.4503231908600872E-2</v>
      </c>
      <c r="U14" s="325"/>
      <c r="V14" s="283">
        <f>S14+T14</f>
        <v>1.3252147514231678</v>
      </c>
      <c r="W14" s="192">
        <f>1000/V14</f>
        <v>754.59467903302857</v>
      </c>
      <c r="X14" s="14"/>
      <c r="Y14" s="14"/>
      <c r="Z14" s="14"/>
      <c r="AA14" s="14"/>
      <c r="AB14" s="14"/>
      <c r="AC14" s="14"/>
      <c r="AD14" s="14"/>
      <c r="AE14" s="14"/>
      <c r="AF14" s="14"/>
      <c r="AG14" s="14"/>
      <c r="AH14" s="14"/>
      <c r="AI14" s="14"/>
      <c r="AJ14" s="14"/>
      <c r="AK14" s="14"/>
      <c r="AL14" s="14"/>
      <c r="AM14" s="14"/>
      <c r="AN14" s="14"/>
      <c r="AO14" s="14"/>
      <c r="AP14" s="14"/>
      <c r="AR14">
        <f t="shared" si="1"/>
        <v>10</v>
      </c>
      <c r="AS14" s="85">
        <f t="shared" si="5"/>
        <v>144</v>
      </c>
      <c r="AT14" s="85"/>
      <c r="AU14" s="85">
        <f t="shared" si="2"/>
        <v>21.599999999999998</v>
      </c>
      <c r="AV14" s="85">
        <f t="shared" si="6"/>
        <v>144</v>
      </c>
      <c r="AW14">
        <f t="shared" si="3"/>
        <v>21.599999999999998</v>
      </c>
      <c r="AX14" s="86">
        <f t="shared" si="0"/>
        <v>7.2828074370809404E-2</v>
      </c>
      <c r="AY14">
        <f t="shared" si="4"/>
        <v>4.4710120086091987E-2</v>
      </c>
      <c r="AZ14"/>
    </row>
    <row r="15" spans="1:53" ht="21" customHeight="1">
      <c r="A15" s="14"/>
      <c r="B15" s="357"/>
      <c r="C15" s="354"/>
      <c r="D15" s="359"/>
      <c r="E15" s="3"/>
      <c r="F15" s="354"/>
      <c r="G15" s="363"/>
      <c r="H15" s="6"/>
      <c r="I15" s="137" t="s">
        <v>10</v>
      </c>
      <c r="J15" s="138">
        <v>0.9</v>
      </c>
      <c r="K15" s="162"/>
      <c r="L15" s="176" t="s">
        <v>224</v>
      </c>
      <c r="M15" s="177">
        <v>3.5999999999999997E-2</v>
      </c>
      <c r="N15" s="12"/>
      <c r="O15" s="6"/>
      <c r="P15" s="14"/>
      <c r="Q15" s="309"/>
      <c r="R15" s="21" t="s">
        <v>45</v>
      </c>
      <c r="S15" s="275">
        <f>(1000/(J17/J10))*J15*J8*G10*G7*G8*J18*G9*G18*(1/G36)</f>
        <v>0.44545579182324407</v>
      </c>
      <c r="T15" s="326">
        <f>(((1000/(J17/J10))*G14)/U36)*J18*J8</f>
        <v>1.3759172742111228E-2</v>
      </c>
      <c r="U15" s="326"/>
      <c r="V15" s="283">
        <f>S15+T15</f>
        <v>0.45921496456535532</v>
      </c>
      <c r="W15" s="192">
        <f>1000/V15</f>
        <v>2177.6293831070925</v>
      </c>
      <c r="X15" s="14"/>
      <c r="Y15" s="14"/>
      <c r="Z15" s="14"/>
      <c r="AA15" s="14"/>
      <c r="AB15" s="14"/>
      <c r="AC15" s="14"/>
      <c r="AD15" s="14"/>
      <c r="AE15" s="14"/>
      <c r="AF15" s="14"/>
      <c r="AG15" s="14"/>
      <c r="AH15" s="14"/>
      <c r="AI15" s="14"/>
      <c r="AJ15" s="14"/>
      <c r="AK15" s="14"/>
      <c r="AL15" s="14"/>
      <c r="AM15" s="14"/>
      <c r="AN15" s="14"/>
      <c r="AO15" s="14"/>
      <c r="AP15" s="14"/>
      <c r="AR15">
        <f t="shared" si="1"/>
        <v>11</v>
      </c>
      <c r="AS15" s="85">
        <f t="shared" si="5"/>
        <v>144</v>
      </c>
      <c r="AT15" s="85"/>
      <c r="AU15" s="85">
        <f t="shared" si="2"/>
        <v>21.599999999999998</v>
      </c>
      <c r="AV15" s="85">
        <f t="shared" si="6"/>
        <v>144</v>
      </c>
      <c r="AW15">
        <f>IF(ISNUMBER(AR16),SUM(AT15:AU15),SUM(AT15:AV15))</f>
        <v>21.599999999999998</v>
      </c>
      <c r="AX15" s="86">
        <f t="shared" si="0"/>
        <v>7.2828074370809404E-2</v>
      </c>
      <c r="AY15">
        <f t="shared" si="4"/>
        <v>4.2581066748659031E-2</v>
      </c>
      <c r="AZ15"/>
    </row>
    <row r="16" spans="1:53" ht="21" customHeight="1">
      <c r="A16" s="14"/>
      <c r="B16" s="357"/>
      <c r="C16" s="353" t="s">
        <v>19</v>
      </c>
      <c r="D16" s="360">
        <v>0.80400000000000005</v>
      </c>
      <c r="E16" s="3"/>
      <c r="F16" s="353" t="s">
        <v>303</v>
      </c>
      <c r="G16" s="355">
        <v>25</v>
      </c>
      <c r="H16" s="6"/>
      <c r="I16" s="132" t="s">
        <v>28</v>
      </c>
      <c r="J16" s="130">
        <v>0.3</v>
      </c>
      <c r="K16" s="163"/>
      <c r="L16" s="6"/>
      <c r="M16" s="6"/>
      <c r="N16" s="12"/>
      <c r="O16" s="6"/>
      <c r="P16" s="14"/>
      <c r="Q16" s="309"/>
      <c r="R16" s="21" t="s">
        <v>210</v>
      </c>
      <c r="S16" s="367">
        <f>(1000/(M7/M10))*M9*M8*(1/V36)*W36*M12*M14*M11*(M15/D36)*M13*G10</f>
        <v>0.48355951304347838</v>
      </c>
      <c r="T16" s="367"/>
      <c r="U16" s="284">
        <v>0</v>
      </c>
      <c r="V16" s="283">
        <f>S16+U16</f>
        <v>0.48355951304347838</v>
      </c>
      <c r="W16" s="192">
        <f>1000/V16</f>
        <v>2067.9977810923283</v>
      </c>
      <c r="X16" s="14"/>
      <c r="Y16" s="14"/>
      <c r="Z16" s="14"/>
      <c r="AA16" s="14"/>
      <c r="AB16" s="14"/>
      <c r="AC16" s="14"/>
      <c r="AD16" s="14"/>
      <c r="AE16" s="14"/>
      <c r="AF16" s="14"/>
      <c r="AG16" s="14"/>
      <c r="AH16" s="14"/>
      <c r="AI16" s="14"/>
      <c r="AJ16" s="14"/>
      <c r="AK16" s="14"/>
      <c r="AL16" s="14"/>
      <c r="AM16" s="14"/>
      <c r="AN16" s="14"/>
      <c r="AO16" s="14"/>
      <c r="AP16" s="14"/>
      <c r="AR16">
        <f t="shared" si="1"/>
        <v>12</v>
      </c>
      <c r="AS16" s="85">
        <f t="shared" si="5"/>
        <v>144</v>
      </c>
      <c r="AT16" s="85"/>
      <c r="AU16" s="85">
        <f t="shared" si="2"/>
        <v>21.599999999999998</v>
      </c>
      <c r="AV16" s="85">
        <f t="shared" si="6"/>
        <v>144</v>
      </c>
      <c r="AW16">
        <f t="shared" ref="AW16:AW80" si="7">IF(ISNUMBER(AR17),SUM(AT16:AU16),SUM(AT16:AV16))</f>
        <v>21.599999999999998</v>
      </c>
      <c r="AX16" s="86">
        <f t="shared" si="0"/>
        <v>7.2828074370809404E-2</v>
      </c>
      <c r="AY16">
        <f t="shared" si="4"/>
        <v>4.0553396903484799E-2</v>
      </c>
      <c r="AZ16"/>
    </row>
    <row r="17" spans="1:53" ht="31.75" customHeight="1">
      <c r="A17" s="14"/>
      <c r="B17" s="357"/>
      <c r="C17" s="362"/>
      <c r="D17" s="361"/>
      <c r="E17" s="3"/>
      <c r="F17" s="354"/>
      <c r="G17" s="356"/>
      <c r="H17" s="6"/>
      <c r="I17" s="133" t="s">
        <v>7</v>
      </c>
      <c r="J17" s="131">
        <v>1.23</v>
      </c>
      <c r="K17" s="163"/>
      <c r="L17" s="14"/>
      <c r="M17" s="14"/>
      <c r="N17" s="12"/>
      <c r="O17" s="6"/>
      <c r="P17" s="14"/>
      <c r="Q17" s="15"/>
      <c r="R17" s="6"/>
      <c r="S17" s="6"/>
      <c r="T17" s="6"/>
      <c r="U17" s="6"/>
      <c r="V17" s="6"/>
      <c r="W17" s="12"/>
      <c r="X17" s="14"/>
      <c r="Y17" s="14"/>
      <c r="Z17" s="14"/>
      <c r="AA17" s="14"/>
      <c r="AB17" s="14"/>
      <c r="AC17" s="14"/>
      <c r="AD17" s="14"/>
      <c r="AE17" s="14"/>
      <c r="AF17" s="14"/>
      <c r="AG17" s="14"/>
      <c r="AH17" s="14"/>
      <c r="AI17" s="14"/>
      <c r="AJ17" s="14"/>
      <c r="AK17" s="14"/>
      <c r="AL17" s="14"/>
      <c r="AM17" s="14"/>
      <c r="AN17" s="14"/>
      <c r="AO17" s="14"/>
      <c r="AP17" s="14"/>
      <c r="AR17">
        <f>IF(AR16&lt;$D$14,AR16+1,"")</f>
        <v>13</v>
      </c>
      <c r="AS17" s="85">
        <f>IF(ISNUMBER(AR17),AV16,0)</f>
        <v>144</v>
      </c>
      <c r="AT17" s="85"/>
      <c r="AU17" s="85">
        <f t="shared" si="2"/>
        <v>21.599999999999998</v>
      </c>
      <c r="AV17" s="85">
        <f t="shared" si="6"/>
        <v>144</v>
      </c>
      <c r="AW17">
        <f>IF(ISNUMBER(AR18),SUM(AT17:AU17),SUM(AT17:AV17))</f>
        <v>21.599999999999998</v>
      </c>
      <c r="AX17" s="86">
        <f t="shared" si="0"/>
        <v>7.2828074370809404E-2</v>
      </c>
      <c r="AY17">
        <f t="shared" si="4"/>
        <v>3.8622282765223614E-2</v>
      </c>
      <c r="AZ17"/>
    </row>
    <row r="18" spans="1:53" ht="30.5" customHeight="1">
      <c r="A18" s="14"/>
      <c r="B18" s="357"/>
      <c r="C18" s="6"/>
      <c r="D18" s="6"/>
      <c r="E18" s="3"/>
      <c r="F18" s="150" t="s">
        <v>254</v>
      </c>
      <c r="G18" s="147">
        <v>0.3</v>
      </c>
      <c r="H18" s="6"/>
      <c r="I18" s="146" t="s">
        <v>131</v>
      </c>
      <c r="J18" s="145">
        <v>1</v>
      </c>
      <c r="K18" s="162"/>
      <c r="L18" s="14"/>
      <c r="M18" s="14"/>
      <c r="N18" s="12"/>
      <c r="O18" s="6"/>
      <c r="P18" s="6"/>
      <c r="Q18" s="309" t="s">
        <v>240</v>
      </c>
      <c r="R18" s="280" t="s">
        <v>179</v>
      </c>
      <c r="S18" s="280" t="s">
        <v>35</v>
      </c>
      <c r="T18" s="319" t="s">
        <v>36</v>
      </c>
      <c r="U18" s="319"/>
      <c r="V18" s="319" t="s">
        <v>34</v>
      </c>
      <c r="W18" s="324"/>
      <c r="X18" s="14"/>
      <c r="Y18" s="14"/>
      <c r="Z18" s="14"/>
      <c r="AA18" s="14"/>
      <c r="AB18" s="14"/>
      <c r="AC18" s="14"/>
      <c r="AD18" s="14"/>
      <c r="AE18" s="14"/>
      <c r="AF18" s="14"/>
      <c r="AG18" s="14"/>
      <c r="AH18" s="14"/>
      <c r="AI18" s="14"/>
      <c r="AJ18" s="14"/>
      <c r="AK18" s="14"/>
      <c r="AL18" s="14"/>
      <c r="AM18" s="14"/>
      <c r="AN18" s="14"/>
      <c r="AO18" s="14"/>
      <c r="AP18" s="14"/>
      <c r="AR18">
        <f>IF(AR17&lt;$D$14,AR17+1,"")</f>
        <v>14</v>
      </c>
      <c r="AS18" s="85">
        <f>IF(ISNUMBER(AR18),AV17,0)</f>
        <v>144</v>
      </c>
      <c r="AT18" s="85"/>
      <c r="AU18" s="85">
        <f t="shared" si="2"/>
        <v>21.599999999999998</v>
      </c>
      <c r="AV18" s="85">
        <f t="shared" si="6"/>
        <v>144</v>
      </c>
      <c r="AW18">
        <f>IF(ISNUMBER(AR19),SUM(AT18:AU18),SUM(AT18:AV18))</f>
        <v>21.599999999999998</v>
      </c>
      <c r="AX18" s="86">
        <f t="shared" si="0"/>
        <v>7.2828074370809404E-2</v>
      </c>
      <c r="AY18">
        <f t="shared" si="4"/>
        <v>3.6783126443070115E-2</v>
      </c>
      <c r="AZ18"/>
    </row>
    <row r="19" spans="1:53" ht="10.25" customHeight="1" thickBot="1">
      <c r="A19" s="14"/>
      <c r="B19" s="141"/>
      <c r="C19" s="7"/>
      <c r="D19" s="7"/>
      <c r="E19" s="7"/>
      <c r="F19" s="142"/>
      <c r="G19" s="143"/>
      <c r="H19" s="7"/>
      <c r="I19" s="7"/>
      <c r="J19" s="7"/>
      <c r="K19" s="7"/>
      <c r="L19" s="172"/>
      <c r="M19" s="7"/>
      <c r="N19" s="144"/>
      <c r="O19" s="6"/>
      <c r="P19" s="14"/>
      <c r="Q19" s="321"/>
      <c r="R19" s="281">
        <f>AZ5</f>
        <v>0.94067933470164244</v>
      </c>
      <c r="S19" s="281">
        <f>AY4</f>
        <v>0.407887093456063</v>
      </c>
      <c r="T19" s="320">
        <f>R19+S19</f>
        <v>1.3485664281577054</v>
      </c>
      <c r="U19" s="320"/>
      <c r="V19" s="322">
        <f>T19/(Tim!Q36/Tim!D16)</f>
        <v>3.7647479452735944E-3</v>
      </c>
      <c r="W19" s="323"/>
      <c r="X19" s="14"/>
      <c r="Y19" s="14"/>
      <c r="Z19" s="14"/>
      <c r="AA19" s="14"/>
      <c r="AB19" s="14"/>
      <c r="AC19" s="14"/>
      <c r="AD19" s="14"/>
      <c r="AE19" s="14"/>
      <c r="AF19" s="14"/>
      <c r="AG19" s="14"/>
      <c r="AH19" s="14"/>
      <c r="AI19" s="14"/>
      <c r="AJ19" s="14"/>
      <c r="AK19" s="14"/>
      <c r="AL19" s="14"/>
      <c r="AM19" s="14"/>
      <c r="AN19" s="14"/>
      <c r="AO19" s="14"/>
      <c r="AP19" s="14"/>
      <c r="AR19">
        <f>IF(AR18&lt;$D$14,AR18+1,"")</f>
        <v>15</v>
      </c>
      <c r="AS19" s="85">
        <f>IF(ISNUMBER(AR19),AV18,0)</f>
        <v>144</v>
      </c>
      <c r="AT19" s="85"/>
      <c r="AU19" s="85">
        <f t="shared" si="2"/>
        <v>21.599999999999998</v>
      </c>
      <c r="AV19" s="85">
        <f t="shared" si="6"/>
        <v>144</v>
      </c>
      <c r="AW19">
        <f t="shared" si="7"/>
        <v>165.6</v>
      </c>
      <c r="AX19" s="86">
        <f t="shared" si="0"/>
        <v>0.4569076172533304</v>
      </c>
      <c r="AY19">
        <f t="shared" si="4"/>
        <v>0.21978037614685669</v>
      </c>
      <c r="AZ19"/>
    </row>
    <row r="20" spans="1:53" ht="9.5" customHeight="1" thickBot="1">
      <c r="A20" s="14"/>
      <c r="B20" s="14"/>
      <c r="C20" s="14"/>
      <c r="D20" s="14"/>
      <c r="E20" s="14"/>
      <c r="F20" s="14"/>
      <c r="G20" s="14"/>
      <c r="H20" s="14"/>
      <c r="I20" s="14"/>
      <c r="J20" s="14"/>
      <c r="K20" s="14"/>
      <c r="L20" s="14"/>
      <c r="M20" s="14"/>
      <c r="N20" s="14"/>
      <c r="O20" s="14"/>
      <c r="P20" s="14"/>
      <c r="Q20" s="6"/>
      <c r="R20" s="6"/>
      <c r="S20" s="6"/>
      <c r="T20" s="6"/>
      <c r="U20" s="6"/>
      <c r="V20" s="6"/>
      <c r="W20" s="6"/>
      <c r="X20" s="14"/>
      <c r="Y20" s="14"/>
      <c r="Z20" s="14"/>
      <c r="AA20" s="14"/>
      <c r="AB20" s="14"/>
      <c r="AC20" s="14"/>
      <c r="AD20" s="14"/>
      <c r="AE20" s="14"/>
      <c r="AF20" s="14"/>
      <c r="AG20" s="14"/>
      <c r="AH20" s="14"/>
      <c r="AI20" s="14"/>
      <c r="AJ20" s="14"/>
      <c r="AK20" s="14"/>
      <c r="AL20" s="14"/>
      <c r="AM20" s="14"/>
      <c r="AN20" s="14"/>
      <c r="AO20" s="14"/>
      <c r="AP20" s="14"/>
      <c r="AR20" t="str">
        <f t="shared" si="1"/>
        <v/>
      </c>
      <c r="AS20" s="85">
        <f t="shared" si="5"/>
        <v>0</v>
      </c>
      <c r="AT20" s="85"/>
      <c r="AU20" s="85">
        <f t="shared" si="2"/>
        <v>0</v>
      </c>
      <c r="AV20" s="85">
        <f t="shared" si="6"/>
        <v>0</v>
      </c>
      <c r="AW20">
        <f t="shared" si="7"/>
        <v>0</v>
      </c>
      <c r="AX20" s="86">
        <f t="shared" si="0"/>
        <v>0</v>
      </c>
      <c r="AY20">
        <f t="shared" si="4"/>
        <v>0</v>
      </c>
      <c r="AZ20"/>
    </row>
    <row r="21" spans="1:53" ht="10.25" customHeight="1">
      <c r="A21" s="14"/>
      <c r="B21" s="14"/>
      <c r="C21" s="14"/>
      <c r="D21" s="14"/>
      <c r="E21" s="6"/>
      <c r="F21" s="384" t="s">
        <v>34</v>
      </c>
      <c r="G21" s="28" t="s">
        <v>33</v>
      </c>
      <c r="H21" s="29"/>
      <c r="I21" s="30">
        <f>T9</f>
        <v>1.9711682351504927E-2</v>
      </c>
      <c r="J21" s="31"/>
      <c r="K21" s="31"/>
      <c r="L21" s="31"/>
      <c r="M21" s="31"/>
      <c r="N21" s="32"/>
      <c r="O21" s="36"/>
      <c r="P21" s="6"/>
      <c r="Q21" s="181"/>
      <c r="R21" s="381" t="s">
        <v>301</v>
      </c>
      <c r="S21" s="382"/>
      <c r="T21" s="96"/>
      <c r="U21" s="377" t="s">
        <v>37</v>
      </c>
      <c r="V21" s="377"/>
      <c r="W21" s="378"/>
      <c r="X21" s="14"/>
      <c r="Y21" s="14"/>
      <c r="Z21" s="14"/>
      <c r="AA21" s="14"/>
      <c r="AB21" s="14"/>
      <c r="AC21" s="14"/>
      <c r="AD21" s="14"/>
      <c r="AE21" s="14"/>
      <c r="AF21" s="14"/>
      <c r="AG21" s="14"/>
      <c r="AH21" s="14"/>
      <c r="AI21" s="14"/>
      <c r="AJ21" s="14"/>
      <c r="AK21" s="14"/>
      <c r="AL21" s="14"/>
      <c r="AM21" s="14"/>
      <c r="AN21" s="14"/>
      <c r="AO21" s="14"/>
      <c r="AP21" s="14"/>
      <c r="AR21" t="str">
        <f t="shared" si="1"/>
        <v/>
      </c>
      <c r="AS21" s="85">
        <f t="shared" si="5"/>
        <v>0</v>
      </c>
      <c r="AT21" s="85"/>
      <c r="AU21" s="85">
        <f t="shared" si="2"/>
        <v>0</v>
      </c>
      <c r="AV21" s="85">
        <f t="shared" si="6"/>
        <v>0</v>
      </c>
      <c r="AW21">
        <f t="shared" si="7"/>
        <v>0</v>
      </c>
      <c r="AX21" s="86">
        <f t="shared" si="0"/>
        <v>0</v>
      </c>
      <c r="AY21">
        <f t="shared" si="4"/>
        <v>0</v>
      </c>
      <c r="AZ21"/>
    </row>
    <row r="22" spans="1:53" ht="12" customHeight="1" thickBot="1">
      <c r="A22" s="14"/>
      <c r="B22" s="14"/>
      <c r="C22" s="14"/>
      <c r="D22" s="14"/>
      <c r="E22" s="6"/>
      <c r="F22" s="368"/>
      <c r="G22" s="33" t="s">
        <v>32</v>
      </c>
      <c r="H22" s="34"/>
      <c r="I22" s="35">
        <f>T10</f>
        <v>6.8594478764378219E-3</v>
      </c>
      <c r="J22" s="36"/>
      <c r="K22" s="36"/>
      <c r="L22" s="36"/>
      <c r="M22" s="36"/>
      <c r="N22" s="37"/>
      <c r="O22" s="36"/>
      <c r="P22" s="6"/>
      <c r="Q22" s="193"/>
      <c r="R22" s="309"/>
      <c r="S22" s="383"/>
      <c r="T22" s="97"/>
      <c r="U22" s="379"/>
      <c r="V22" s="379"/>
      <c r="W22" s="380"/>
      <c r="X22" s="14"/>
      <c r="Y22" s="83"/>
      <c r="Z22" s="14"/>
      <c r="AA22" s="14"/>
      <c r="AB22" s="14"/>
      <c r="AC22" s="14"/>
      <c r="AD22" s="14"/>
      <c r="AE22" s="14"/>
      <c r="AF22" s="14"/>
      <c r="AG22" s="14"/>
      <c r="AH22" s="14"/>
      <c r="AI22" s="14"/>
      <c r="AJ22" s="14"/>
      <c r="AK22" s="14"/>
      <c r="AL22" s="14"/>
      <c r="AM22" s="14"/>
      <c r="AN22" s="14"/>
      <c r="AO22" s="14"/>
      <c r="AP22" s="14"/>
      <c r="AR22" t="str">
        <f t="shared" si="1"/>
        <v/>
      </c>
      <c r="AS22" s="85">
        <f t="shared" si="5"/>
        <v>0</v>
      </c>
      <c r="AT22" s="85"/>
      <c r="AU22" s="85">
        <f t="shared" si="2"/>
        <v>0</v>
      </c>
      <c r="AV22" s="85">
        <f t="shared" si="6"/>
        <v>0</v>
      </c>
      <c r="AW22">
        <f t="shared" si="7"/>
        <v>0</v>
      </c>
      <c r="AX22" s="86">
        <f t="shared" si="0"/>
        <v>0</v>
      </c>
      <c r="AY22">
        <f t="shared" si="4"/>
        <v>0</v>
      </c>
      <c r="AZ22"/>
    </row>
    <row r="23" spans="1:53" ht="10.75" customHeight="1">
      <c r="A23" s="14"/>
      <c r="B23" s="313" t="s">
        <v>234</v>
      </c>
      <c r="C23" s="349"/>
      <c r="D23" s="349"/>
      <c r="E23" s="349"/>
      <c r="F23" s="368"/>
      <c r="G23" s="33" t="s">
        <v>210</v>
      </c>
      <c r="H23" s="34"/>
      <c r="I23" s="35">
        <f>T11</f>
        <v>7.409826873765517E-3</v>
      </c>
      <c r="J23" s="36"/>
      <c r="K23" s="36"/>
      <c r="L23" s="36"/>
      <c r="M23" s="36"/>
      <c r="N23" s="37"/>
      <c r="O23" s="36"/>
      <c r="P23" s="6"/>
      <c r="Q23" s="181"/>
      <c r="R23" s="84" t="s">
        <v>44</v>
      </c>
      <c r="S23" s="46">
        <f>W24/W23</f>
        <v>3.8685487459398393</v>
      </c>
      <c r="T23" s="98"/>
      <c r="U23" s="45" t="s">
        <v>38</v>
      </c>
      <c r="V23" s="45"/>
      <c r="W23" s="47">
        <f>(R36/S36)*T5</f>
        <v>17.003551209468455</v>
      </c>
      <c r="X23" s="14"/>
      <c r="Y23" s="83"/>
      <c r="Z23" s="14"/>
      <c r="AA23" s="14"/>
      <c r="AB23" s="14"/>
      <c r="AC23" s="14"/>
      <c r="AD23" s="14"/>
      <c r="AE23" s="14"/>
      <c r="AF23" s="14"/>
      <c r="AG23" s="14"/>
      <c r="AH23" s="14"/>
      <c r="AI23" s="14"/>
      <c r="AJ23" s="14"/>
      <c r="AK23" s="14"/>
      <c r="AL23" s="14"/>
      <c r="AM23" s="14"/>
      <c r="AN23" s="14"/>
      <c r="AO23" s="14"/>
      <c r="AP23" s="14"/>
      <c r="AR23" t="str">
        <f t="shared" si="1"/>
        <v/>
      </c>
      <c r="AS23" s="85">
        <f t="shared" si="5"/>
        <v>0</v>
      </c>
      <c r="AT23" s="85"/>
      <c r="AU23" s="85">
        <f t="shared" si="2"/>
        <v>0</v>
      </c>
      <c r="AV23" s="85">
        <f t="shared" si="6"/>
        <v>0</v>
      </c>
      <c r="AW23">
        <f t="shared" si="7"/>
        <v>0</v>
      </c>
      <c r="AX23" s="86">
        <f t="shared" si="0"/>
        <v>0</v>
      </c>
      <c r="AY23">
        <f t="shared" si="4"/>
        <v>0</v>
      </c>
      <c r="AZ23"/>
    </row>
    <row r="24" spans="1:53" ht="12.5" customHeight="1" thickBot="1">
      <c r="A24" s="14"/>
      <c r="B24" s="350"/>
      <c r="C24" s="351"/>
      <c r="D24" s="351"/>
      <c r="E24" s="351"/>
      <c r="F24" s="368"/>
      <c r="G24" s="33" t="s">
        <v>14</v>
      </c>
      <c r="H24" s="34"/>
      <c r="I24" s="35">
        <f>Tim!V19</f>
        <v>3.7647479452735944E-3</v>
      </c>
      <c r="J24" s="36"/>
      <c r="K24" s="36"/>
      <c r="L24" s="36"/>
      <c r="M24" s="36"/>
      <c r="N24" s="37"/>
      <c r="O24" s="36"/>
      <c r="P24" s="6"/>
      <c r="Q24" s="193"/>
      <c r="R24" s="84" t="s">
        <v>32</v>
      </c>
      <c r="S24" s="46">
        <f>W25/W23</f>
        <v>1.3462122616950185</v>
      </c>
      <c r="T24" s="98"/>
      <c r="U24" s="45" t="s">
        <v>39</v>
      </c>
      <c r="V24" s="45"/>
      <c r="W24" s="47">
        <f>T9*R36</f>
        <v>65.779066707913032</v>
      </c>
      <c r="X24" s="14"/>
      <c r="Y24" s="6"/>
      <c r="Z24" s="14"/>
      <c r="AA24" s="14"/>
      <c r="AB24" s="14"/>
      <c r="AC24" s="14"/>
      <c r="AD24" s="14"/>
      <c r="AE24" s="14"/>
      <c r="AF24" s="14"/>
      <c r="AG24" s="14"/>
      <c r="AH24" s="14"/>
      <c r="AI24" s="14"/>
      <c r="AJ24" s="14"/>
      <c r="AK24" s="14"/>
      <c r="AL24" s="14"/>
      <c r="AM24" s="14"/>
      <c r="AN24" s="14"/>
      <c r="AO24" s="14"/>
      <c r="AP24" s="14"/>
      <c r="AR24" t="str">
        <f t="shared" si="1"/>
        <v/>
      </c>
      <c r="AS24" s="85">
        <f t="shared" si="5"/>
        <v>0</v>
      </c>
      <c r="AT24" s="85"/>
      <c r="AU24" s="85">
        <f t="shared" si="2"/>
        <v>0</v>
      </c>
      <c r="AV24" s="85">
        <f t="shared" si="6"/>
        <v>0</v>
      </c>
      <c r="AW24">
        <f>IF(ISNUMBER(AR25),SUM(AT24:AU24),SUM(AT24:AV24))</f>
        <v>0</v>
      </c>
      <c r="AX24" s="86">
        <f t="shared" si="0"/>
        <v>0</v>
      </c>
      <c r="AY24">
        <f t="shared" si="4"/>
        <v>0</v>
      </c>
      <c r="AZ24"/>
    </row>
    <row r="25" spans="1:53" ht="14.5" customHeight="1">
      <c r="A25" s="14"/>
      <c r="B25" s="350"/>
      <c r="C25" s="351"/>
      <c r="D25" s="351"/>
      <c r="E25" s="351"/>
      <c r="F25" s="38" t="s">
        <v>48</v>
      </c>
      <c r="G25" s="39"/>
      <c r="H25" s="39"/>
      <c r="I25" s="40">
        <f>Tim!V19*J36</f>
        <v>1.0764167325126262</v>
      </c>
      <c r="J25" s="36"/>
      <c r="K25" s="36"/>
      <c r="L25" s="36"/>
      <c r="M25" s="36"/>
      <c r="N25" s="37"/>
      <c r="O25" s="36"/>
      <c r="P25" s="6"/>
      <c r="Q25" s="372" t="s">
        <v>235</v>
      </c>
      <c r="R25" s="84" t="s">
        <v>210</v>
      </c>
      <c r="S25" s="46">
        <f>W27/W23</f>
        <v>1.4542277999903142</v>
      </c>
      <c r="T25" s="22"/>
      <c r="U25" s="45" t="s">
        <v>32</v>
      </c>
      <c r="V25" s="45"/>
      <c r="W25" s="47">
        <f>T10*R36</f>
        <v>22.890389130545596</v>
      </c>
      <c r="X25" s="6"/>
      <c r="Y25" s="6"/>
      <c r="Z25" s="14"/>
      <c r="AA25" s="14"/>
      <c r="AB25" s="14"/>
      <c r="AC25" s="14"/>
      <c r="AD25" s="14"/>
      <c r="AE25" s="14"/>
      <c r="AF25" s="14"/>
      <c r="AG25" s="14"/>
      <c r="AH25" s="14"/>
      <c r="AI25" s="14"/>
      <c r="AJ25" s="14"/>
      <c r="AK25" s="14"/>
      <c r="AL25" s="14"/>
      <c r="AM25" s="14"/>
      <c r="AN25" s="14"/>
      <c r="AO25" s="14"/>
      <c r="AP25" s="14"/>
      <c r="AR25" t="str">
        <f>IF(AR24&lt;$D$14,AR24+1,"")</f>
        <v/>
      </c>
      <c r="AS25" s="85">
        <f>IF(ISNUMBER(AR25),AV24,0)</f>
        <v>0</v>
      </c>
      <c r="AT25" s="85"/>
      <c r="AU25" s="85">
        <f t="shared" si="2"/>
        <v>0</v>
      </c>
      <c r="AV25" s="85">
        <f t="shared" si="6"/>
        <v>0</v>
      </c>
      <c r="AW25">
        <f t="shared" si="7"/>
        <v>0</v>
      </c>
      <c r="AX25" s="86">
        <f t="shared" si="0"/>
        <v>0</v>
      </c>
      <c r="AY25">
        <f t="shared" si="4"/>
        <v>0</v>
      </c>
      <c r="AZ25"/>
    </row>
    <row r="26" spans="1:53" ht="12" customHeight="1" thickBot="1">
      <c r="A26" s="14"/>
      <c r="B26" s="315"/>
      <c r="C26" s="352"/>
      <c r="D26" s="352"/>
      <c r="E26" s="352"/>
      <c r="F26" s="15"/>
      <c r="G26" s="6"/>
      <c r="H26" s="6"/>
      <c r="I26" s="6"/>
      <c r="J26" s="6"/>
      <c r="K26" s="6"/>
      <c r="L26" s="6"/>
      <c r="M26" s="6"/>
      <c r="N26" s="12"/>
      <c r="O26" s="36"/>
      <c r="P26" s="6"/>
      <c r="Q26" s="373"/>
      <c r="R26" s="15"/>
      <c r="S26" s="6"/>
      <c r="T26" s="6"/>
      <c r="U26" s="45" t="s">
        <v>14</v>
      </c>
      <c r="V26" s="45"/>
      <c r="W26" s="47">
        <f>V19*R36</f>
        <v>12.563189778254701</v>
      </c>
      <c r="X26" s="14"/>
      <c r="Y26" s="14"/>
      <c r="Z26" s="14"/>
      <c r="AA26" s="14"/>
      <c r="AB26" s="14"/>
      <c r="AC26" s="14"/>
      <c r="AD26" s="14"/>
      <c r="AE26" s="14"/>
      <c r="AF26" s="14"/>
      <c r="AG26" s="14"/>
      <c r="AH26" s="14"/>
      <c r="AI26" s="14"/>
      <c r="AJ26" s="14"/>
      <c r="AK26" s="14"/>
      <c r="AL26" s="14"/>
      <c r="AM26" s="14"/>
      <c r="AN26" s="14"/>
      <c r="AO26" s="14"/>
      <c r="AP26" s="14"/>
      <c r="AR26" t="str">
        <f t="shared" si="1"/>
        <v/>
      </c>
      <c r="AS26" s="85">
        <f t="shared" si="5"/>
        <v>0</v>
      </c>
      <c r="AT26" s="85"/>
      <c r="AU26" s="85">
        <f t="shared" si="2"/>
        <v>0</v>
      </c>
      <c r="AV26" s="85">
        <f t="shared" si="6"/>
        <v>0</v>
      </c>
      <c r="AW26">
        <f t="shared" si="7"/>
        <v>0</v>
      </c>
      <c r="AX26" s="86">
        <f t="shared" si="0"/>
        <v>0</v>
      </c>
      <c r="AY26">
        <f t="shared" si="4"/>
        <v>0</v>
      </c>
      <c r="AZ26"/>
    </row>
    <row r="27" spans="1:53" ht="12.5" customHeight="1">
      <c r="A27" s="14"/>
      <c r="B27" s="14"/>
      <c r="C27" s="14"/>
      <c r="D27" s="14"/>
      <c r="E27" s="6"/>
      <c r="F27" s="41" t="s">
        <v>41</v>
      </c>
      <c r="G27" s="42">
        <f>I21/I24</f>
        <v>5.2358571245790069</v>
      </c>
      <c r="H27" s="43" t="s">
        <v>42</v>
      </c>
      <c r="I27" s="39"/>
      <c r="J27" s="39"/>
      <c r="K27" s="39"/>
      <c r="L27" s="39"/>
      <c r="M27" s="39"/>
      <c r="N27" s="44"/>
      <c r="O27" s="36"/>
      <c r="P27" s="6"/>
      <c r="Q27" s="373"/>
      <c r="R27" s="15"/>
      <c r="S27" s="6"/>
      <c r="T27" s="6"/>
      <c r="U27" s="45" t="s">
        <v>210</v>
      </c>
      <c r="V27" s="45"/>
      <c r="W27" s="47">
        <f>T11*R36</f>
        <v>24.727036867367957</v>
      </c>
      <c r="X27" s="14"/>
      <c r="Y27" s="14"/>
      <c r="Z27" s="14"/>
      <c r="AA27" s="14"/>
      <c r="AB27" s="14"/>
      <c r="AC27" s="14"/>
      <c r="AD27" s="14"/>
      <c r="AE27" s="14"/>
      <c r="AF27" s="14"/>
      <c r="AG27" s="14"/>
      <c r="AH27" s="14"/>
      <c r="AI27" s="14"/>
      <c r="AJ27" s="14"/>
      <c r="AK27" s="14"/>
      <c r="AL27" s="14"/>
      <c r="AM27" s="14"/>
      <c r="AN27" s="14"/>
      <c r="AO27" s="14"/>
      <c r="AP27" s="14"/>
      <c r="AR27" t="str">
        <f t="shared" si="1"/>
        <v/>
      </c>
      <c r="AS27" s="85">
        <f t="shared" si="5"/>
        <v>0</v>
      </c>
      <c r="AT27" s="85"/>
      <c r="AU27" s="85">
        <f t="shared" si="2"/>
        <v>0</v>
      </c>
      <c r="AV27" s="85">
        <f t="shared" si="6"/>
        <v>0</v>
      </c>
      <c r="AW27">
        <f t="shared" si="7"/>
        <v>0</v>
      </c>
      <c r="AX27" s="86">
        <f t="shared" si="0"/>
        <v>0</v>
      </c>
      <c r="AY27">
        <f t="shared" si="4"/>
        <v>0</v>
      </c>
      <c r="AZ27" s="117"/>
      <c r="BA27" s="14"/>
    </row>
    <row r="28" spans="1:53" s="14" customFormat="1" ht="14.5" customHeight="1" thickBot="1">
      <c r="E28" s="6"/>
      <c r="F28" s="41" t="s">
        <v>43</v>
      </c>
      <c r="G28" s="42">
        <f>I22/I24</f>
        <v>1.8220204848107906</v>
      </c>
      <c r="H28" s="43" t="s">
        <v>42</v>
      </c>
      <c r="I28" s="39"/>
      <c r="J28" s="39"/>
      <c r="K28" s="39"/>
      <c r="L28" s="39"/>
      <c r="M28" s="39"/>
      <c r="N28" s="44"/>
      <c r="O28" s="36"/>
      <c r="P28" s="6"/>
      <c r="Q28" s="374"/>
      <c r="R28" s="15"/>
      <c r="S28" s="6"/>
      <c r="T28" s="6"/>
      <c r="U28" s="6"/>
      <c r="V28" s="6"/>
      <c r="W28" s="12"/>
      <c r="AR28" t="str">
        <f t="shared" si="1"/>
        <v/>
      </c>
      <c r="AS28" s="85">
        <f t="shared" si="5"/>
        <v>0</v>
      </c>
      <c r="AT28" s="85"/>
      <c r="AU28" s="85">
        <f t="shared" si="2"/>
        <v>0</v>
      </c>
      <c r="AV28" s="85">
        <f t="shared" si="6"/>
        <v>0</v>
      </c>
      <c r="AW28">
        <f t="shared" si="7"/>
        <v>0</v>
      </c>
      <c r="AX28" s="86">
        <f t="shared" si="0"/>
        <v>0</v>
      </c>
      <c r="AY28">
        <f t="shared" si="4"/>
        <v>0</v>
      </c>
      <c r="AZ28"/>
      <c r="BA28" s="1"/>
    </row>
    <row r="29" spans="1:53" ht="13.75" customHeight="1">
      <c r="A29" s="14"/>
      <c r="B29" s="14"/>
      <c r="C29" s="14"/>
      <c r="D29" s="14"/>
      <c r="E29" s="6"/>
      <c r="F29" s="41" t="s">
        <v>228</v>
      </c>
      <c r="G29" s="42">
        <f>I23/I24</f>
        <v>1.9682132725693073</v>
      </c>
      <c r="H29" s="43" t="s">
        <v>42</v>
      </c>
      <c r="I29" s="39"/>
      <c r="J29" s="39"/>
      <c r="K29" s="39"/>
      <c r="L29" s="39"/>
      <c r="M29" s="39"/>
      <c r="N29" s="44"/>
      <c r="O29" s="36"/>
      <c r="P29" s="6"/>
      <c r="Q29" s="193"/>
      <c r="R29" s="375" t="s">
        <v>231</v>
      </c>
      <c r="S29" s="376"/>
      <c r="T29" s="376"/>
      <c r="U29" s="376"/>
      <c r="V29" s="376"/>
      <c r="W29" s="100">
        <f>W24-W23</f>
        <v>48.775515498444577</v>
      </c>
      <c r="X29" s="14"/>
      <c r="Y29" s="14"/>
      <c r="Z29" s="14"/>
      <c r="AA29" s="14"/>
      <c r="AB29" s="14"/>
      <c r="AC29" s="14"/>
      <c r="AD29" s="14"/>
      <c r="AE29" s="14"/>
      <c r="AF29" s="14"/>
      <c r="AG29" s="14"/>
      <c r="AH29" s="14"/>
      <c r="AI29" s="14"/>
      <c r="AJ29" s="14"/>
      <c r="AK29" s="14"/>
      <c r="AL29" s="14"/>
      <c r="AM29" s="14"/>
      <c r="AN29" s="14"/>
      <c r="AO29" s="14"/>
      <c r="AP29" s="14"/>
      <c r="AR29" t="str">
        <f t="shared" si="1"/>
        <v/>
      </c>
      <c r="AS29" s="85">
        <f t="shared" si="5"/>
        <v>0</v>
      </c>
      <c r="AT29" s="85"/>
      <c r="AU29" s="85">
        <f t="shared" si="2"/>
        <v>0</v>
      </c>
      <c r="AV29" s="85">
        <f t="shared" si="6"/>
        <v>0</v>
      </c>
      <c r="AW29">
        <f t="shared" si="7"/>
        <v>0</v>
      </c>
      <c r="AX29" s="86">
        <f t="shared" si="0"/>
        <v>0</v>
      </c>
      <c r="AY29">
        <f t="shared" si="4"/>
        <v>0</v>
      </c>
      <c r="AZ29"/>
    </row>
    <row r="30" spans="1:53" ht="13.25" customHeight="1">
      <c r="A30" s="14"/>
      <c r="B30" s="14"/>
      <c r="C30" s="14"/>
      <c r="D30" s="14"/>
      <c r="E30" s="6"/>
      <c r="F30" s="15"/>
      <c r="G30" s="6"/>
      <c r="H30" s="6"/>
      <c r="I30" s="6"/>
      <c r="J30" s="36"/>
      <c r="K30" s="36"/>
      <c r="L30" s="36"/>
      <c r="M30" s="36"/>
      <c r="N30" s="37"/>
      <c r="O30" s="36"/>
      <c r="P30" s="6"/>
      <c r="Q30" s="193"/>
      <c r="R30" s="375" t="s">
        <v>230</v>
      </c>
      <c r="S30" s="376"/>
      <c r="T30" s="376"/>
      <c r="U30" s="376"/>
      <c r="V30" s="376"/>
      <c r="W30" s="100">
        <f>W25-W23</f>
        <v>5.8868379210771415</v>
      </c>
      <c r="X30" s="14"/>
      <c r="Y30" s="14"/>
      <c r="Z30" s="14"/>
      <c r="AA30" s="14"/>
      <c r="AB30" s="14"/>
      <c r="AC30" s="14"/>
      <c r="AD30" s="14"/>
      <c r="AE30" s="14"/>
      <c r="AF30" s="14"/>
      <c r="AG30" s="14"/>
      <c r="AH30" s="14"/>
      <c r="AI30" s="14"/>
      <c r="AJ30" s="14"/>
      <c r="AK30" s="14"/>
      <c r="AL30" s="14"/>
      <c r="AM30" s="14"/>
      <c r="AN30" s="14"/>
      <c r="AO30" s="14"/>
      <c r="AP30" s="14"/>
      <c r="AR30" t="str">
        <f t="shared" si="1"/>
        <v/>
      </c>
      <c r="AS30" s="85">
        <f t="shared" si="5"/>
        <v>0</v>
      </c>
      <c r="AT30" s="85"/>
      <c r="AU30" s="85">
        <f t="shared" si="2"/>
        <v>0</v>
      </c>
      <c r="AV30" s="85">
        <f t="shared" si="6"/>
        <v>0</v>
      </c>
      <c r="AW30">
        <f>IF(ISNUMBER(AR33),SUM(AT30:AU30),SUM(AT30:AV30))</f>
        <v>0</v>
      </c>
      <c r="AX30" s="86">
        <f t="shared" si="0"/>
        <v>0</v>
      </c>
      <c r="AY30">
        <f t="shared" si="4"/>
        <v>0</v>
      </c>
      <c r="AZ30"/>
    </row>
    <row r="31" spans="1:53" ht="13.25" customHeight="1" thickBot="1">
      <c r="A31" s="14"/>
      <c r="B31" s="14"/>
      <c r="C31" s="14"/>
      <c r="D31" s="14"/>
      <c r="E31" s="6"/>
      <c r="F31" s="368" t="s">
        <v>184</v>
      </c>
      <c r="G31" s="33" t="s">
        <v>33</v>
      </c>
      <c r="H31" s="34"/>
      <c r="I31" s="40">
        <f>1000/V14</f>
        <v>754.59467903302857</v>
      </c>
      <c r="J31" s="36"/>
      <c r="K31" s="36"/>
      <c r="L31" s="36"/>
      <c r="M31" s="36"/>
      <c r="N31" s="37"/>
      <c r="O31" s="36"/>
      <c r="P31" s="6"/>
      <c r="Q31" s="194"/>
      <c r="R31" s="370" t="s">
        <v>229</v>
      </c>
      <c r="S31" s="371"/>
      <c r="T31" s="371"/>
      <c r="U31" s="371"/>
      <c r="V31" s="371"/>
      <c r="W31" s="101">
        <f>W27-W23</f>
        <v>7.7234856578995021</v>
      </c>
      <c r="X31" s="14"/>
      <c r="Y31" s="14"/>
      <c r="Z31" s="14"/>
      <c r="AA31" s="14"/>
      <c r="AB31" s="14"/>
      <c r="AC31" s="14"/>
      <c r="AD31" s="14"/>
      <c r="AE31" s="14"/>
      <c r="AF31" s="14"/>
      <c r="AG31" s="14"/>
      <c r="AH31" s="14"/>
      <c r="AI31" s="14"/>
      <c r="AJ31" s="14"/>
      <c r="AK31" s="14"/>
      <c r="AL31" s="14"/>
      <c r="AM31" s="14"/>
      <c r="AN31" s="14"/>
      <c r="AO31" s="14"/>
      <c r="AP31" s="14"/>
      <c r="AR31"/>
      <c r="AS31" s="85"/>
      <c r="AT31" s="85"/>
      <c r="AU31" s="85"/>
      <c r="AV31" s="85"/>
      <c r="AW31"/>
      <c r="AX31" s="86"/>
      <c r="AY31"/>
      <c r="AZ31"/>
    </row>
    <row r="32" spans="1:53" ht="13.25" customHeight="1">
      <c r="A32" s="14"/>
      <c r="B32" s="14"/>
      <c r="C32" s="14"/>
      <c r="D32" s="14"/>
      <c r="E32" s="6"/>
      <c r="F32" s="368"/>
      <c r="G32" s="33" t="s">
        <v>32</v>
      </c>
      <c r="H32" s="34"/>
      <c r="I32" s="40">
        <f>1000/V15</f>
        <v>2177.6293831070925</v>
      </c>
      <c r="J32" s="36"/>
      <c r="K32" s="36"/>
      <c r="L32" s="36"/>
      <c r="M32" s="36"/>
      <c r="N32" s="37"/>
      <c r="O32" s="36"/>
      <c r="P32" s="6"/>
      <c r="Q32" s="114"/>
      <c r="R32" s="115"/>
      <c r="S32" s="115"/>
      <c r="T32" s="115"/>
      <c r="U32" s="115"/>
      <c r="V32" s="115"/>
      <c r="W32" s="116"/>
      <c r="X32" s="14"/>
      <c r="Y32" s="14"/>
      <c r="Z32" s="14"/>
      <c r="AA32" s="14"/>
      <c r="AB32" s="14"/>
      <c r="AC32" s="14"/>
      <c r="AD32" s="14"/>
      <c r="AE32" s="14"/>
      <c r="AF32" s="14"/>
      <c r="AG32" s="14"/>
      <c r="AH32" s="14"/>
      <c r="AI32" s="14"/>
      <c r="AJ32" s="14"/>
      <c r="AK32" s="14"/>
      <c r="AL32" s="14"/>
      <c r="AM32" s="14"/>
      <c r="AN32" s="14"/>
      <c r="AO32" s="14"/>
      <c r="AP32" s="14"/>
      <c r="AR32"/>
      <c r="AS32" s="85"/>
      <c r="AT32" s="85"/>
      <c r="AU32" s="85"/>
      <c r="AV32" s="85"/>
      <c r="AW32"/>
      <c r="AX32" s="86"/>
      <c r="AY32"/>
      <c r="AZ32"/>
    </row>
    <row r="33" spans="1:52" ht="13.75" customHeight="1" thickBot="1">
      <c r="A33" s="14"/>
      <c r="B33" s="14"/>
      <c r="C33" s="14"/>
      <c r="D33" s="14"/>
      <c r="E33" s="14"/>
      <c r="F33" s="369"/>
      <c r="G33" s="118" t="s">
        <v>210</v>
      </c>
      <c r="H33" s="119"/>
      <c r="I33" s="120">
        <f>1000/V16</f>
        <v>2067.9977810923283</v>
      </c>
      <c r="J33" s="7"/>
      <c r="K33" s="7"/>
      <c r="L33" s="7"/>
      <c r="M33" s="7"/>
      <c r="N33" s="182"/>
      <c r="O33" s="14"/>
      <c r="P33" s="14"/>
      <c r="Q33" s="114"/>
      <c r="R33" s="115"/>
      <c r="S33" s="115"/>
      <c r="T33" s="115"/>
      <c r="U33" s="115"/>
      <c r="V33" s="115"/>
      <c r="W33" s="116"/>
      <c r="X33" s="14"/>
      <c r="Y33" s="14"/>
      <c r="Z33" s="14"/>
      <c r="AA33" s="14"/>
      <c r="AB33" s="14"/>
      <c r="AC33" s="14"/>
      <c r="AD33" s="14"/>
      <c r="AE33" s="14"/>
      <c r="AF33" s="14"/>
      <c r="AG33" s="14"/>
      <c r="AH33" s="14"/>
      <c r="AI33" s="14"/>
      <c r="AJ33" s="14"/>
      <c r="AK33" s="14"/>
      <c r="AL33" s="14"/>
      <c r="AM33" s="14"/>
      <c r="AN33" s="14"/>
      <c r="AO33" s="14"/>
      <c r="AP33" s="14"/>
      <c r="AR33" t="str">
        <f>IF(AR30&lt;$D$14,AR30+1,"")</f>
        <v/>
      </c>
      <c r="AS33" s="85">
        <f>IF(ISNUMBER(AR33),AV30,0)</f>
        <v>0</v>
      </c>
      <c r="AT33" s="85"/>
      <c r="AU33" s="85">
        <f t="shared" si="2"/>
        <v>0</v>
      </c>
      <c r="AV33" s="85">
        <f t="shared" si="6"/>
        <v>0</v>
      </c>
      <c r="AW33">
        <f t="shared" si="7"/>
        <v>0</v>
      </c>
      <c r="AX33" s="86">
        <f>LN(AW33+$J$36)-LN($J$36)</f>
        <v>0</v>
      </c>
      <c r="AY33">
        <f t="shared" si="4"/>
        <v>0</v>
      </c>
    </row>
    <row r="34" spans="1:52" ht="51" customHeight="1" thickBot="1">
      <c r="B34" s="14"/>
      <c r="C34" s="14"/>
      <c r="D34" s="14"/>
      <c r="E34" s="14"/>
      <c r="F34" s="14"/>
      <c r="G34" s="14"/>
      <c r="H34" s="14"/>
      <c r="I34" s="14"/>
      <c r="J34" s="14"/>
      <c r="K34" s="14"/>
      <c r="L34" s="14"/>
      <c r="M34" s="14"/>
      <c r="N34" s="14"/>
      <c r="O34" s="14"/>
      <c r="P34" s="14"/>
      <c r="Q34" s="114"/>
      <c r="R34" s="115"/>
      <c r="S34" s="115"/>
      <c r="T34" s="115"/>
      <c r="U34" s="115"/>
      <c r="V34" s="115"/>
      <c r="W34" s="116"/>
      <c r="X34" s="14"/>
      <c r="Y34" s="14"/>
      <c r="Z34" s="14"/>
      <c r="AA34" s="14"/>
      <c r="AB34" s="14"/>
      <c r="AC34" s="14"/>
      <c r="AD34" s="14"/>
      <c r="AE34" s="14"/>
      <c r="AF34" s="14"/>
      <c r="AG34" s="14"/>
      <c r="AH34" s="14"/>
      <c r="AI34" s="14"/>
      <c r="AJ34" s="14"/>
      <c r="AK34" s="14"/>
      <c r="AL34" s="14"/>
      <c r="AM34" s="14"/>
      <c r="AQ34"/>
      <c r="AR34" t="str">
        <f t="shared" si="1"/>
        <v/>
      </c>
      <c r="AS34" s="85">
        <f t="shared" si="5"/>
        <v>0</v>
      </c>
      <c r="AT34" s="85"/>
      <c r="AU34" s="85">
        <f t="shared" si="2"/>
        <v>0</v>
      </c>
      <c r="AV34" s="85">
        <f t="shared" si="6"/>
        <v>0</v>
      </c>
      <c r="AW34">
        <f t="shared" si="7"/>
        <v>0</v>
      </c>
      <c r="AX34" s="86">
        <f>LN(AW34+$J$36)-LN($J$36)</f>
        <v>0</v>
      </c>
      <c r="AY34">
        <f t="shared" si="4"/>
        <v>0</v>
      </c>
    </row>
    <row r="35" spans="1:52" ht="31.25" customHeight="1">
      <c r="A35" s="14"/>
      <c r="B35" s="327" t="s">
        <v>29</v>
      </c>
      <c r="C35" s="16"/>
      <c r="D35" s="330" t="s">
        <v>24</v>
      </c>
      <c r="E35" s="331"/>
      <c r="F35" s="332"/>
      <c r="G35" s="18" t="s">
        <v>16</v>
      </c>
      <c r="H35" s="341" t="s">
        <v>27</v>
      </c>
      <c r="I35" s="342"/>
      <c r="J35" s="330" t="s">
        <v>26</v>
      </c>
      <c r="K35" s="331"/>
      <c r="L35" s="331"/>
      <c r="M35" s="331"/>
      <c r="N35" s="332"/>
      <c r="O35" s="330" t="s">
        <v>17</v>
      </c>
      <c r="P35" s="332"/>
      <c r="Q35" s="277" t="s">
        <v>18</v>
      </c>
      <c r="R35" s="103" t="s">
        <v>178</v>
      </c>
      <c r="S35" s="213" t="s">
        <v>25</v>
      </c>
      <c r="T35" s="214"/>
      <c r="U35" s="103" t="s">
        <v>172</v>
      </c>
      <c r="V35" s="103" t="s">
        <v>222</v>
      </c>
      <c r="W35" s="111" t="s">
        <v>225</v>
      </c>
      <c r="X35" s="14"/>
      <c r="Y35" s="14"/>
      <c r="Z35" s="14"/>
      <c r="AA35" s="14"/>
      <c r="AB35" s="14"/>
      <c r="AC35" s="14"/>
      <c r="AD35" s="14"/>
      <c r="AE35" s="14"/>
      <c r="AF35" s="14"/>
      <c r="AG35" s="14"/>
      <c r="AH35" s="14"/>
      <c r="AI35" s="14"/>
      <c r="AJ35" s="14"/>
      <c r="AK35" s="14"/>
      <c r="AL35" s="14"/>
      <c r="AM35" s="14"/>
      <c r="AQ35"/>
      <c r="AR35" t="str">
        <f t="shared" si="1"/>
        <v/>
      </c>
      <c r="AS35" s="85">
        <f t="shared" si="5"/>
        <v>0</v>
      </c>
      <c r="AT35" s="85"/>
      <c r="AU35" s="85">
        <f t="shared" si="2"/>
        <v>0</v>
      </c>
      <c r="AV35" s="85">
        <f t="shared" si="6"/>
        <v>0</v>
      </c>
      <c r="AW35">
        <f t="shared" si="7"/>
        <v>0</v>
      </c>
      <c r="AX35" s="86">
        <f>LN(AW35+$J$36)-LN($J$36)</f>
        <v>0</v>
      </c>
      <c r="AY35">
        <f t="shared" si="4"/>
        <v>0</v>
      </c>
      <c r="AZ35"/>
    </row>
    <row r="36" spans="1:52" ht="12" customHeight="1">
      <c r="A36" s="14"/>
      <c r="B36" s="328"/>
      <c r="C36" s="19" t="s">
        <v>20</v>
      </c>
      <c r="D36" s="333">
        <v>0.253</v>
      </c>
      <c r="E36" s="334"/>
      <c r="F36" s="335"/>
      <c r="G36" s="26">
        <v>2.41</v>
      </c>
      <c r="H36" s="336">
        <v>4.7</v>
      </c>
      <c r="I36" s="337"/>
      <c r="J36" s="338">
        <v>285.92</v>
      </c>
      <c r="K36" s="339"/>
      <c r="L36" s="339"/>
      <c r="M36" s="339"/>
      <c r="N36" s="340"/>
      <c r="O36" s="385">
        <v>1000</v>
      </c>
      <c r="P36" s="386"/>
      <c r="Q36" s="102">
        <v>288</v>
      </c>
      <c r="R36" s="104">
        <v>3337.06</v>
      </c>
      <c r="S36" s="204">
        <v>6.32</v>
      </c>
      <c r="T36" s="278"/>
      <c r="U36" s="185">
        <f>AVERAGE(36.46,36.59)</f>
        <v>36.525000000000006</v>
      </c>
      <c r="V36" s="185">
        <v>15</v>
      </c>
      <c r="W36" s="173">
        <v>0.43099999999999999</v>
      </c>
      <c r="X36" s="14"/>
      <c r="Y36" s="6"/>
      <c r="Z36" s="14"/>
      <c r="AA36" s="14"/>
      <c r="AB36" s="14"/>
      <c r="AC36" s="14"/>
      <c r="AD36" s="14"/>
      <c r="AE36" s="14"/>
      <c r="AF36" s="14"/>
      <c r="AG36" s="14"/>
      <c r="AH36" s="14"/>
      <c r="AI36" s="14"/>
      <c r="AJ36" s="14"/>
      <c r="AK36" s="14"/>
      <c r="AL36" s="14"/>
      <c r="AM36" s="14"/>
      <c r="AN36" s="14"/>
      <c r="AR36" t="str">
        <f t="shared" si="1"/>
        <v/>
      </c>
      <c r="AS36" s="85">
        <f t="shared" si="5"/>
        <v>0</v>
      </c>
      <c r="AT36" s="85"/>
      <c r="AU36" s="85">
        <f t="shared" si="2"/>
        <v>0</v>
      </c>
      <c r="AV36" s="85">
        <f t="shared" si="6"/>
        <v>0</v>
      </c>
      <c r="AW36">
        <f t="shared" si="7"/>
        <v>0</v>
      </c>
      <c r="AX36" s="86">
        <f>LN(AW36+$J$36)-LN($J$36)</f>
        <v>0</v>
      </c>
      <c r="AY36">
        <f t="shared" si="4"/>
        <v>0</v>
      </c>
      <c r="AZ36"/>
    </row>
    <row r="37" spans="1:52" ht="12" customHeight="1" thickBot="1">
      <c r="A37" s="14"/>
      <c r="B37" s="329"/>
      <c r="C37" s="20" t="s">
        <v>21</v>
      </c>
      <c r="D37" s="343" t="s">
        <v>22</v>
      </c>
      <c r="E37" s="344"/>
      <c r="F37" s="344"/>
      <c r="G37" s="345"/>
      <c r="H37" s="346" t="s">
        <v>23</v>
      </c>
      <c r="I37" s="347"/>
      <c r="J37" s="347"/>
      <c r="K37" s="347"/>
      <c r="L37" s="347"/>
      <c r="M37" s="347"/>
      <c r="N37" s="347"/>
      <c r="O37" s="347"/>
      <c r="P37" s="347"/>
      <c r="Q37" s="348"/>
      <c r="R37" s="364" t="s">
        <v>140</v>
      </c>
      <c r="S37" s="365"/>
      <c r="T37" s="366"/>
      <c r="U37" s="186" t="s">
        <v>185</v>
      </c>
      <c r="V37" s="187" t="s">
        <v>223</v>
      </c>
      <c r="W37" s="188" t="s">
        <v>307</v>
      </c>
      <c r="X37" s="14"/>
      <c r="Y37" s="6"/>
      <c r="Z37" s="14"/>
      <c r="AA37" s="14"/>
      <c r="AB37" s="14"/>
      <c r="AC37" s="14"/>
      <c r="AD37" s="14"/>
      <c r="AE37" s="14"/>
      <c r="AF37" s="14"/>
      <c r="AG37" s="14"/>
      <c r="AH37" s="14"/>
      <c r="AI37" s="14"/>
      <c r="AJ37" s="14"/>
      <c r="AK37" s="14"/>
      <c r="AL37" s="14"/>
      <c r="AM37" s="14"/>
      <c r="AN37" s="14"/>
      <c r="AO37" s="14"/>
      <c r="AP37" s="14"/>
      <c r="AR37" t="str">
        <f t="shared" si="1"/>
        <v/>
      </c>
      <c r="AS37" s="85">
        <f t="shared" si="5"/>
        <v>0</v>
      </c>
      <c r="AT37" s="85"/>
      <c r="AU37" s="85">
        <f t="shared" si="2"/>
        <v>0</v>
      </c>
      <c r="AV37" s="85">
        <f t="shared" si="6"/>
        <v>0</v>
      </c>
      <c r="AW37">
        <f t="shared" si="7"/>
        <v>0</v>
      </c>
      <c r="AX37" s="86">
        <f>LN(AW37+$J$36)-LN($J$36)</f>
        <v>0</v>
      </c>
      <c r="AY37">
        <f t="shared" si="4"/>
        <v>0</v>
      </c>
      <c r="AZ37"/>
    </row>
    <row r="38" spans="1:52" s="14" customFormat="1" ht="14">
      <c r="J38" s="148"/>
      <c r="K38" s="148"/>
      <c r="L38" s="148"/>
      <c r="M38" s="148"/>
      <c r="Y38" s="6"/>
      <c r="AR38" s="117" t="str">
        <f t="shared" si="1"/>
        <v/>
      </c>
      <c r="AS38" s="183">
        <f t="shared" si="5"/>
        <v>0</v>
      </c>
      <c r="AT38" s="183"/>
      <c r="AU38" s="183">
        <f t="shared" si="2"/>
        <v>0</v>
      </c>
      <c r="AV38" s="183">
        <f t="shared" si="6"/>
        <v>0</v>
      </c>
      <c r="AW38" s="117">
        <f t="shared" si="7"/>
        <v>0</v>
      </c>
      <c r="AX38" s="184">
        <f t="shared" ref="AX38:AX101" si="8">LN(AW38+$J$36)-LN($J$36)</f>
        <v>0</v>
      </c>
      <c r="AY38" s="117">
        <f t="shared" si="4"/>
        <v>0</v>
      </c>
      <c r="AZ38" s="117"/>
    </row>
    <row r="39" spans="1:52" s="14" customFormat="1" ht="14">
      <c r="AR39" s="117" t="str">
        <f t="shared" si="1"/>
        <v/>
      </c>
      <c r="AS39" s="183">
        <f t="shared" si="5"/>
        <v>0</v>
      </c>
      <c r="AT39" s="183"/>
      <c r="AU39" s="183">
        <f t="shared" si="2"/>
        <v>0</v>
      </c>
      <c r="AV39" s="183">
        <f t="shared" si="6"/>
        <v>0</v>
      </c>
      <c r="AW39" s="117">
        <f t="shared" si="7"/>
        <v>0</v>
      </c>
      <c r="AX39" s="184">
        <f t="shared" si="8"/>
        <v>0</v>
      </c>
      <c r="AY39" s="117">
        <f t="shared" si="4"/>
        <v>0</v>
      </c>
      <c r="AZ39" s="117"/>
    </row>
    <row r="40" spans="1:52" s="14" customFormat="1" ht="14">
      <c r="AR40" s="117" t="str">
        <f t="shared" si="1"/>
        <v/>
      </c>
      <c r="AS40" s="183">
        <f t="shared" si="5"/>
        <v>0</v>
      </c>
      <c r="AT40" s="183"/>
      <c r="AU40" s="183">
        <f t="shared" si="2"/>
        <v>0</v>
      </c>
      <c r="AV40" s="183">
        <f t="shared" si="6"/>
        <v>0</v>
      </c>
      <c r="AW40" s="117">
        <f t="shared" si="7"/>
        <v>0</v>
      </c>
      <c r="AX40" s="184">
        <f t="shared" si="8"/>
        <v>0</v>
      </c>
      <c r="AY40" s="117">
        <f t="shared" si="4"/>
        <v>0</v>
      </c>
      <c r="AZ40" s="117"/>
    </row>
    <row r="41" spans="1:52" s="14" customFormat="1" ht="14">
      <c r="AR41" s="117" t="str">
        <f t="shared" si="1"/>
        <v/>
      </c>
      <c r="AS41" s="183">
        <f t="shared" si="5"/>
        <v>0</v>
      </c>
      <c r="AT41" s="183"/>
      <c r="AU41" s="183">
        <f t="shared" si="2"/>
        <v>0</v>
      </c>
      <c r="AV41" s="183">
        <f t="shared" si="6"/>
        <v>0</v>
      </c>
      <c r="AW41" s="117">
        <f t="shared" si="7"/>
        <v>0</v>
      </c>
      <c r="AX41" s="184">
        <f t="shared" si="8"/>
        <v>0</v>
      </c>
      <c r="AY41" s="117">
        <f t="shared" si="4"/>
        <v>0</v>
      </c>
      <c r="AZ41" s="117"/>
    </row>
    <row r="42" spans="1:52" s="14" customFormat="1" ht="14">
      <c r="AR42" s="117" t="str">
        <f t="shared" si="1"/>
        <v/>
      </c>
      <c r="AS42" s="183">
        <f t="shared" si="5"/>
        <v>0</v>
      </c>
      <c r="AT42" s="183"/>
      <c r="AU42" s="183">
        <f t="shared" si="2"/>
        <v>0</v>
      </c>
      <c r="AV42" s="183">
        <f t="shared" si="6"/>
        <v>0</v>
      </c>
      <c r="AW42" s="117">
        <f t="shared" si="7"/>
        <v>0</v>
      </c>
      <c r="AX42" s="184">
        <f t="shared" si="8"/>
        <v>0</v>
      </c>
      <c r="AY42" s="117">
        <f t="shared" si="4"/>
        <v>0</v>
      </c>
      <c r="AZ42" s="117"/>
    </row>
    <row r="43" spans="1:52" s="14" customFormat="1" ht="14">
      <c r="AR43" s="117" t="str">
        <f t="shared" si="1"/>
        <v/>
      </c>
      <c r="AS43" s="183">
        <f t="shared" si="5"/>
        <v>0</v>
      </c>
      <c r="AT43" s="183"/>
      <c r="AU43" s="183">
        <f t="shared" si="2"/>
        <v>0</v>
      </c>
      <c r="AV43" s="183">
        <f t="shared" si="6"/>
        <v>0</v>
      </c>
      <c r="AW43" s="117">
        <f t="shared" si="7"/>
        <v>0</v>
      </c>
      <c r="AX43" s="184">
        <f t="shared" si="8"/>
        <v>0</v>
      </c>
      <c r="AY43" s="117">
        <f t="shared" si="4"/>
        <v>0</v>
      </c>
      <c r="AZ43" s="117"/>
    </row>
    <row r="44" spans="1:52" s="14" customFormat="1" ht="14">
      <c r="AR44" s="117" t="str">
        <f t="shared" si="1"/>
        <v/>
      </c>
      <c r="AS44" s="183">
        <f t="shared" si="5"/>
        <v>0</v>
      </c>
      <c r="AT44" s="183"/>
      <c r="AU44" s="183">
        <f t="shared" si="2"/>
        <v>0</v>
      </c>
      <c r="AV44" s="183">
        <f t="shared" si="6"/>
        <v>0</v>
      </c>
      <c r="AW44" s="117">
        <f t="shared" si="7"/>
        <v>0</v>
      </c>
      <c r="AX44" s="184">
        <f t="shared" si="8"/>
        <v>0</v>
      </c>
      <c r="AY44" s="117">
        <f t="shared" si="4"/>
        <v>0</v>
      </c>
      <c r="AZ44" s="117"/>
    </row>
    <row r="45" spans="1:52" s="14" customFormat="1" ht="14">
      <c r="AR45" s="117" t="str">
        <f t="shared" si="1"/>
        <v/>
      </c>
      <c r="AS45" s="183">
        <f t="shared" si="5"/>
        <v>0</v>
      </c>
      <c r="AT45" s="183"/>
      <c r="AU45" s="183">
        <f t="shared" si="2"/>
        <v>0</v>
      </c>
      <c r="AV45" s="183">
        <f t="shared" si="6"/>
        <v>0</v>
      </c>
      <c r="AW45" s="117">
        <f t="shared" si="7"/>
        <v>0</v>
      </c>
      <c r="AX45" s="184">
        <f t="shared" si="8"/>
        <v>0</v>
      </c>
      <c r="AY45" s="117">
        <f t="shared" si="4"/>
        <v>0</v>
      </c>
      <c r="AZ45" s="117"/>
    </row>
    <row r="46" spans="1:52" s="14" customFormat="1" ht="14">
      <c r="AR46" s="117" t="str">
        <f t="shared" si="1"/>
        <v/>
      </c>
      <c r="AS46" s="183">
        <f t="shared" si="5"/>
        <v>0</v>
      </c>
      <c r="AT46" s="183"/>
      <c r="AU46" s="183">
        <f t="shared" si="2"/>
        <v>0</v>
      </c>
      <c r="AV46" s="183">
        <f t="shared" si="6"/>
        <v>0</v>
      </c>
      <c r="AW46" s="117">
        <f t="shared" si="7"/>
        <v>0</v>
      </c>
      <c r="AX46" s="184">
        <f t="shared" si="8"/>
        <v>0</v>
      </c>
      <c r="AY46" s="117">
        <f t="shared" si="4"/>
        <v>0</v>
      </c>
      <c r="AZ46" s="117"/>
    </row>
    <row r="47" spans="1:52" s="14" customFormat="1" ht="14">
      <c r="AR47" s="117" t="str">
        <f t="shared" si="1"/>
        <v/>
      </c>
      <c r="AS47" s="183">
        <f t="shared" si="5"/>
        <v>0</v>
      </c>
      <c r="AT47" s="183"/>
      <c r="AU47" s="183">
        <f t="shared" si="2"/>
        <v>0</v>
      </c>
      <c r="AV47" s="183">
        <f t="shared" si="6"/>
        <v>0</v>
      </c>
      <c r="AW47" s="117">
        <f t="shared" si="7"/>
        <v>0</v>
      </c>
      <c r="AX47" s="184">
        <f t="shared" si="8"/>
        <v>0</v>
      </c>
      <c r="AY47" s="117">
        <f t="shared" si="4"/>
        <v>0</v>
      </c>
      <c r="AZ47" s="117"/>
    </row>
    <row r="48" spans="1:52" s="14" customFormat="1" ht="14">
      <c r="AR48" s="117" t="str">
        <f t="shared" si="1"/>
        <v/>
      </c>
      <c r="AS48" s="183">
        <f t="shared" si="5"/>
        <v>0</v>
      </c>
      <c r="AT48" s="183"/>
      <c r="AU48" s="183">
        <f t="shared" si="2"/>
        <v>0</v>
      </c>
      <c r="AV48" s="183">
        <f t="shared" si="6"/>
        <v>0</v>
      </c>
      <c r="AW48" s="117">
        <f t="shared" si="7"/>
        <v>0</v>
      </c>
      <c r="AX48" s="184">
        <f t="shared" si="8"/>
        <v>0</v>
      </c>
      <c r="AY48" s="117">
        <f t="shared" si="4"/>
        <v>0</v>
      </c>
      <c r="AZ48" s="117"/>
    </row>
    <row r="49" spans="44:52" s="14" customFormat="1" ht="14">
      <c r="AR49" s="117" t="str">
        <f t="shared" si="1"/>
        <v/>
      </c>
      <c r="AS49" s="183">
        <f t="shared" si="5"/>
        <v>0</v>
      </c>
      <c r="AT49" s="183"/>
      <c r="AU49" s="183">
        <f t="shared" si="2"/>
        <v>0</v>
      </c>
      <c r="AV49" s="183">
        <f t="shared" si="6"/>
        <v>0</v>
      </c>
      <c r="AW49" s="117">
        <f t="shared" si="7"/>
        <v>0</v>
      </c>
      <c r="AX49" s="184">
        <f t="shared" si="8"/>
        <v>0</v>
      </c>
      <c r="AY49" s="117">
        <f t="shared" si="4"/>
        <v>0</v>
      </c>
      <c r="AZ49" s="117"/>
    </row>
    <row r="50" spans="44:52" s="14" customFormat="1" ht="14">
      <c r="AR50" s="117" t="str">
        <f t="shared" si="1"/>
        <v/>
      </c>
      <c r="AS50" s="183">
        <f t="shared" si="5"/>
        <v>0</v>
      </c>
      <c r="AT50" s="183"/>
      <c r="AU50" s="183">
        <f t="shared" si="2"/>
        <v>0</v>
      </c>
      <c r="AV50" s="183">
        <f t="shared" si="6"/>
        <v>0</v>
      </c>
      <c r="AW50" s="117">
        <f t="shared" si="7"/>
        <v>0</v>
      </c>
      <c r="AX50" s="184">
        <f t="shared" si="8"/>
        <v>0</v>
      </c>
      <c r="AY50" s="117">
        <f t="shared" si="4"/>
        <v>0</v>
      </c>
      <c r="AZ50" s="117"/>
    </row>
    <row r="51" spans="44:52" s="14" customFormat="1" ht="14">
      <c r="AR51" s="117" t="str">
        <f t="shared" si="1"/>
        <v/>
      </c>
      <c r="AS51" s="183">
        <f t="shared" si="5"/>
        <v>0</v>
      </c>
      <c r="AT51" s="183"/>
      <c r="AU51" s="183">
        <f t="shared" si="2"/>
        <v>0</v>
      </c>
      <c r="AV51" s="183">
        <f t="shared" si="6"/>
        <v>0</v>
      </c>
      <c r="AW51" s="117">
        <f t="shared" si="7"/>
        <v>0</v>
      </c>
      <c r="AX51" s="184">
        <f t="shared" si="8"/>
        <v>0</v>
      </c>
      <c r="AY51" s="117">
        <f t="shared" si="4"/>
        <v>0</v>
      </c>
      <c r="AZ51" s="117"/>
    </row>
    <row r="52" spans="44:52" s="14" customFormat="1" ht="14">
      <c r="AR52" s="117" t="str">
        <f t="shared" si="1"/>
        <v/>
      </c>
      <c r="AS52" s="183">
        <f t="shared" si="5"/>
        <v>0</v>
      </c>
      <c r="AT52" s="183"/>
      <c r="AU52" s="183">
        <f t="shared" si="2"/>
        <v>0</v>
      </c>
      <c r="AV52" s="183">
        <f t="shared" si="6"/>
        <v>0</v>
      </c>
      <c r="AW52" s="117">
        <f t="shared" si="7"/>
        <v>0</v>
      </c>
      <c r="AX52" s="184">
        <f t="shared" si="8"/>
        <v>0</v>
      </c>
      <c r="AY52" s="117">
        <f t="shared" si="4"/>
        <v>0</v>
      </c>
      <c r="AZ52" s="117"/>
    </row>
    <row r="53" spans="44:52" s="14" customFormat="1" ht="14">
      <c r="AR53" s="117" t="str">
        <f t="shared" si="1"/>
        <v/>
      </c>
      <c r="AS53" s="183">
        <f t="shared" si="5"/>
        <v>0</v>
      </c>
      <c r="AT53" s="183"/>
      <c r="AU53" s="183">
        <f t="shared" si="2"/>
        <v>0</v>
      </c>
      <c r="AV53" s="183">
        <f t="shared" si="6"/>
        <v>0</v>
      </c>
      <c r="AW53" s="117">
        <f t="shared" si="7"/>
        <v>0</v>
      </c>
      <c r="AX53" s="184">
        <f t="shared" si="8"/>
        <v>0</v>
      </c>
      <c r="AY53" s="117">
        <f t="shared" si="4"/>
        <v>0</v>
      </c>
      <c r="AZ53" s="117"/>
    </row>
    <row r="54" spans="44:52" s="14" customFormat="1" ht="14">
      <c r="AR54" s="117" t="str">
        <f t="shared" si="1"/>
        <v/>
      </c>
      <c r="AS54" s="183">
        <f t="shared" si="5"/>
        <v>0</v>
      </c>
      <c r="AT54" s="183"/>
      <c r="AU54" s="183">
        <f t="shared" si="2"/>
        <v>0</v>
      </c>
      <c r="AV54" s="183">
        <f t="shared" si="6"/>
        <v>0</v>
      </c>
      <c r="AW54" s="117">
        <f t="shared" si="7"/>
        <v>0</v>
      </c>
      <c r="AX54" s="184">
        <f t="shared" si="8"/>
        <v>0</v>
      </c>
      <c r="AY54" s="117">
        <f t="shared" si="4"/>
        <v>0</v>
      </c>
      <c r="AZ54" s="117"/>
    </row>
    <row r="55" spans="44:52" s="14" customFormat="1" ht="14">
      <c r="AR55" s="117" t="str">
        <f t="shared" si="1"/>
        <v/>
      </c>
      <c r="AS55" s="183">
        <f t="shared" si="5"/>
        <v>0</v>
      </c>
      <c r="AT55" s="183"/>
      <c r="AU55" s="183">
        <f t="shared" si="2"/>
        <v>0</v>
      </c>
      <c r="AV55" s="183">
        <f t="shared" si="6"/>
        <v>0</v>
      </c>
      <c r="AW55" s="117">
        <f t="shared" si="7"/>
        <v>0</v>
      </c>
      <c r="AX55" s="184">
        <f t="shared" si="8"/>
        <v>0</v>
      </c>
      <c r="AY55" s="117">
        <f t="shared" si="4"/>
        <v>0</v>
      </c>
      <c r="AZ55" s="117"/>
    </row>
    <row r="56" spans="44:52" s="14" customFormat="1" ht="14">
      <c r="AR56" s="117" t="str">
        <f t="shared" si="1"/>
        <v/>
      </c>
      <c r="AS56" s="183">
        <f t="shared" si="5"/>
        <v>0</v>
      </c>
      <c r="AT56" s="183"/>
      <c r="AU56" s="183">
        <f t="shared" si="2"/>
        <v>0</v>
      </c>
      <c r="AV56" s="183">
        <f t="shared" si="6"/>
        <v>0</v>
      </c>
      <c r="AW56" s="117">
        <f t="shared" si="7"/>
        <v>0</v>
      </c>
      <c r="AX56" s="184">
        <f t="shared" si="8"/>
        <v>0</v>
      </c>
      <c r="AY56" s="117">
        <f t="shared" si="4"/>
        <v>0</v>
      </c>
      <c r="AZ56" s="117"/>
    </row>
    <row r="57" spans="44:52" s="14" customFormat="1" ht="14">
      <c r="AR57" s="117" t="str">
        <f t="shared" si="1"/>
        <v/>
      </c>
      <c r="AS57" s="183">
        <f t="shared" si="5"/>
        <v>0</v>
      </c>
      <c r="AT57" s="183"/>
      <c r="AU57" s="183">
        <f t="shared" si="2"/>
        <v>0</v>
      </c>
      <c r="AV57" s="183">
        <f t="shared" si="6"/>
        <v>0</v>
      </c>
      <c r="AW57" s="117">
        <f t="shared" si="7"/>
        <v>0</v>
      </c>
      <c r="AX57" s="184">
        <f t="shared" si="8"/>
        <v>0</v>
      </c>
      <c r="AY57" s="117">
        <f t="shared" si="4"/>
        <v>0</v>
      </c>
      <c r="AZ57" s="117"/>
    </row>
    <row r="58" spans="44:52" s="14" customFormat="1" ht="14">
      <c r="AR58" s="117" t="str">
        <f t="shared" si="1"/>
        <v/>
      </c>
      <c r="AS58" s="183">
        <f t="shared" si="5"/>
        <v>0</v>
      </c>
      <c r="AT58" s="183"/>
      <c r="AU58" s="183">
        <f t="shared" si="2"/>
        <v>0</v>
      </c>
      <c r="AV58" s="183">
        <f t="shared" si="6"/>
        <v>0</v>
      </c>
      <c r="AW58" s="117">
        <f t="shared" si="7"/>
        <v>0</v>
      </c>
      <c r="AX58" s="184">
        <f t="shared" si="8"/>
        <v>0</v>
      </c>
      <c r="AY58" s="117">
        <f t="shared" si="4"/>
        <v>0</v>
      </c>
      <c r="AZ58" s="117"/>
    </row>
    <row r="59" spans="44:52" s="14" customFormat="1" ht="14">
      <c r="AR59" s="117" t="str">
        <f t="shared" si="1"/>
        <v/>
      </c>
      <c r="AS59" s="183">
        <f t="shared" si="5"/>
        <v>0</v>
      </c>
      <c r="AT59" s="183"/>
      <c r="AU59" s="183">
        <f t="shared" si="2"/>
        <v>0</v>
      </c>
      <c r="AV59" s="183">
        <f t="shared" si="6"/>
        <v>0</v>
      </c>
      <c r="AW59" s="117">
        <f t="shared" si="7"/>
        <v>0</v>
      </c>
      <c r="AX59" s="184">
        <f t="shared" si="8"/>
        <v>0</v>
      </c>
      <c r="AY59" s="117">
        <f t="shared" si="4"/>
        <v>0</v>
      </c>
      <c r="AZ59" s="117"/>
    </row>
    <row r="60" spans="44:52" s="14" customFormat="1" ht="14">
      <c r="AR60" s="117" t="str">
        <f t="shared" si="1"/>
        <v/>
      </c>
      <c r="AS60" s="183">
        <f t="shared" si="5"/>
        <v>0</v>
      </c>
      <c r="AT60" s="183"/>
      <c r="AU60" s="183">
        <f t="shared" si="2"/>
        <v>0</v>
      </c>
      <c r="AV60" s="183">
        <f t="shared" si="6"/>
        <v>0</v>
      </c>
      <c r="AW60" s="117">
        <f t="shared" si="7"/>
        <v>0</v>
      </c>
      <c r="AX60" s="184">
        <f t="shared" si="8"/>
        <v>0</v>
      </c>
      <c r="AY60" s="117">
        <f t="shared" si="4"/>
        <v>0</v>
      </c>
      <c r="AZ60" s="117"/>
    </row>
    <row r="61" spans="44:52" s="14" customFormat="1" ht="14">
      <c r="AR61" s="117" t="str">
        <f t="shared" si="1"/>
        <v/>
      </c>
      <c r="AS61" s="183">
        <f t="shared" si="5"/>
        <v>0</v>
      </c>
      <c r="AT61" s="183"/>
      <c r="AU61" s="183">
        <f t="shared" si="2"/>
        <v>0</v>
      </c>
      <c r="AV61" s="183">
        <f t="shared" si="6"/>
        <v>0</v>
      </c>
      <c r="AW61" s="117">
        <f t="shared" si="7"/>
        <v>0</v>
      </c>
      <c r="AX61" s="184">
        <f t="shared" si="8"/>
        <v>0</v>
      </c>
      <c r="AY61" s="117">
        <f t="shared" si="4"/>
        <v>0</v>
      </c>
      <c r="AZ61" s="117"/>
    </row>
    <row r="62" spans="44:52" s="14" customFormat="1" ht="14">
      <c r="AR62" s="117" t="str">
        <f t="shared" si="1"/>
        <v/>
      </c>
      <c r="AS62" s="183">
        <f t="shared" si="5"/>
        <v>0</v>
      </c>
      <c r="AT62" s="183"/>
      <c r="AU62" s="183">
        <f t="shared" si="2"/>
        <v>0</v>
      </c>
      <c r="AV62" s="183">
        <f t="shared" si="6"/>
        <v>0</v>
      </c>
      <c r="AW62" s="117">
        <f t="shared" si="7"/>
        <v>0</v>
      </c>
      <c r="AX62" s="184">
        <f t="shared" si="8"/>
        <v>0</v>
      </c>
      <c r="AY62" s="117">
        <f t="shared" si="4"/>
        <v>0</v>
      </c>
      <c r="AZ62" s="117"/>
    </row>
    <row r="63" spans="44:52" s="14" customFormat="1" ht="14">
      <c r="AR63" s="117" t="str">
        <f t="shared" si="1"/>
        <v/>
      </c>
      <c r="AS63" s="183">
        <f t="shared" si="5"/>
        <v>0</v>
      </c>
      <c r="AT63" s="183"/>
      <c r="AU63" s="183">
        <f t="shared" si="2"/>
        <v>0</v>
      </c>
      <c r="AV63" s="183">
        <f t="shared" si="6"/>
        <v>0</v>
      </c>
      <c r="AW63" s="117">
        <f t="shared" si="7"/>
        <v>0</v>
      </c>
      <c r="AX63" s="184">
        <f t="shared" si="8"/>
        <v>0</v>
      </c>
      <c r="AY63" s="117">
        <f t="shared" si="4"/>
        <v>0</v>
      </c>
      <c r="AZ63" s="117"/>
    </row>
    <row r="64" spans="44:52" s="14" customFormat="1" ht="14">
      <c r="AR64" s="117" t="str">
        <f t="shared" si="1"/>
        <v/>
      </c>
      <c r="AS64" s="183">
        <f t="shared" si="5"/>
        <v>0</v>
      </c>
      <c r="AT64" s="183"/>
      <c r="AU64" s="183">
        <f t="shared" si="2"/>
        <v>0</v>
      </c>
      <c r="AV64" s="183">
        <f t="shared" si="6"/>
        <v>0</v>
      </c>
      <c r="AW64" s="117">
        <f t="shared" si="7"/>
        <v>0</v>
      </c>
      <c r="AX64" s="184">
        <f t="shared" si="8"/>
        <v>0</v>
      </c>
      <c r="AY64" s="117">
        <f t="shared" si="4"/>
        <v>0</v>
      </c>
      <c r="AZ64" s="117"/>
    </row>
    <row r="65" spans="44:52" s="14" customFormat="1" ht="14">
      <c r="AR65" s="117" t="str">
        <f t="shared" si="1"/>
        <v/>
      </c>
      <c r="AS65" s="183">
        <f t="shared" si="5"/>
        <v>0</v>
      </c>
      <c r="AT65" s="183"/>
      <c r="AU65" s="183">
        <f t="shared" si="2"/>
        <v>0</v>
      </c>
      <c r="AV65" s="183">
        <f t="shared" si="6"/>
        <v>0</v>
      </c>
      <c r="AW65" s="117">
        <f t="shared" si="7"/>
        <v>0</v>
      </c>
      <c r="AX65" s="184">
        <f t="shared" si="8"/>
        <v>0</v>
      </c>
      <c r="AY65" s="117">
        <f t="shared" si="4"/>
        <v>0</v>
      </c>
      <c r="AZ65" s="117"/>
    </row>
    <row r="66" spans="44:52" s="14" customFormat="1" ht="14">
      <c r="AR66" s="117" t="str">
        <f t="shared" si="1"/>
        <v/>
      </c>
      <c r="AS66" s="183">
        <f t="shared" si="5"/>
        <v>0</v>
      </c>
      <c r="AT66" s="183"/>
      <c r="AU66" s="183">
        <f t="shared" si="2"/>
        <v>0</v>
      </c>
      <c r="AV66" s="183">
        <f t="shared" si="6"/>
        <v>0</v>
      </c>
      <c r="AW66" s="117">
        <f t="shared" si="7"/>
        <v>0</v>
      </c>
      <c r="AX66" s="184">
        <f t="shared" si="8"/>
        <v>0</v>
      </c>
      <c r="AY66" s="117">
        <f t="shared" si="4"/>
        <v>0</v>
      </c>
      <c r="AZ66" s="117"/>
    </row>
    <row r="67" spans="44:52" s="14" customFormat="1" ht="14">
      <c r="AR67" s="117" t="str">
        <f t="shared" si="1"/>
        <v/>
      </c>
      <c r="AS67" s="183">
        <f t="shared" si="5"/>
        <v>0</v>
      </c>
      <c r="AT67" s="183"/>
      <c r="AU67" s="183">
        <f t="shared" si="2"/>
        <v>0</v>
      </c>
      <c r="AV67" s="183">
        <f t="shared" si="6"/>
        <v>0</v>
      </c>
      <c r="AW67" s="117">
        <f t="shared" si="7"/>
        <v>0</v>
      </c>
      <c r="AX67" s="184">
        <f t="shared" si="8"/>
        <v>0</v>
      </c>
      <c r="AY67" s="117">
        <f t="shared" si="4"/>
        <v>0</v>
      </c>
      <c r="AZ67" s="117"/>
    </row>
    <row r="68" spans="44:52" s="14" customFormat="1" ht="14">
      <c r="AR68" s="117" t="str">
        <f t="shared" si="1"/>
        <v/>
      </c>
      <c r="AS68" s="183">
        <f t="shared" si="5"/>
        <v>0</v>
      </c>
      <c r="AT68" s="183"/>
      <c r="AU68" s="183">
        <f t="shared" si="2"/>
        <v>0</v>
      </c>
      <c r="AV68" s="183">
        <f t="shared" si="6"/>
        <v>0</v>
      </c>
      <c r="AW68" s="117">
        <f t="shared" si="7"/>
        <v>0</v>
      </c>
      <c r="AX68" s="184">
        <f t="shared" si="8"/>
        <v>0</v>
      </c>
      <c r="AY68" s="117">
        <f t="shared" si="4"/>
        <v>0</v>
      </c>
      <c r="AZ68" s="117"/>
    </row>
    <row r="69" spans="44:52" s="14" customFormat="1" ht="14">
      <c r="AR69" s="117" t="str">
        <f t="shared" ref="AR69:AR113" si="9">IF(AR68&lt;$D$14,AR68+1,"")</f>
        <v/>
      </c>
      <c r="AS69" s="183">
        <f t="shared" si="5"/>
        <v>0</v>
      </c>
      <c r="AT69" s="183"/>
      <c r="AU69" s="183">
        <f t="shared" si="2"/>
        <v>0</v>
      </c>
      <c r="AV69" s="183">
        <f t="shared" si="6"/>
        <v>0</v>
      </c>
      <c r="AW69" s="117">
        <f t="shared" si="7"/>
        <v>0</v>
      </c>
      <c r="AX69" s="184">
        <f t="shared" si="8"/>
        <v>0</v>
      </c>
      <c r="AY69" s="117">
        <f t="shared" si="4"/>
        <v>0</v>
      </c>
      <c r="AZ69" s="117"/>
    </row>
    <row r="70" spans="44:52" s="14" customFormat="1" ht="14">
      <c r="AR70" s="117" t="str">
        <f t="shared" si="9"/>
        <v/>
      </c>
      <c r="AS70" s="183">
        <f t="shared" si="5"/>
        <v>0</v>
      </c>
      <c r="AT70" s="183"/>
      <c r="AU70" s="183">
        <f t="shared" si="2"/>
        <v>0</v>
      </c>
      <c r="AV70" s="183">
        <f t="shared" si="6"/>
        <v>0</v>
      </c>
      <c r="AW70" s="117">
        <f t="shared" si="7"/>
        <v>0</v>
      </c>
      <c r="AX70" s="184">
        <f t="shared" si="8"/>
        <v>0</v>
      </c>
      <c r="AY70" s="117">
        <f t="shared" si="4"/>
        <v>0</v>
      </c>
      <c r="AZ70" s="117"/>
    </row>
    <row r="71" spans="44:52" s="14" customFormat="1" ht="14">
      <c r="AR71" s="117" t="str">
        <f t="shared" si="9"/>
        <v/>
      </c>
      <c r="AS71" s="183">
        <f t="shared" si="5"/>
        <v>0</v>
      </c>
      <c r="AT71" s="183"/>
      <c r="AU71" s="183">
        <f t="shared" ref="AU71:AU113" si="10">$D$10*AS71</f>
        <v>0</v>
      </c>
      <c r="AV71" s="183">
        <f t="shared" si="6"/>
        <v>0</v>
      </c>
      <c r="AW71" s="117">
        <f t="shared" si="7"/>
        <v>0</v>
      </c>
      <c r="AX71" s="184">
        <f t="shared" si="8"/>
        <v>0</v>
      </c>
      <c r="AY71" s="117">
        <f t="shared" ref="AY71:AY113" si="11">IF(ISNUMBER(AR71),AX71/(1+$D$7)^AR71,0)</f>
        <v>0</v>
      </c>
      <c r="AZ71" s="117"/>
    </row>
    <row r="72" spans="44:52" s="14" customFormat="1" ht="14">
      <c r="AR72" s="117" t="str">
        <f t="shared" si="9"/>
        <v/>
      </c>
      <c r="AS72" s="183">
        <f t="shared" ref="AS72:AS113" si="12">IF(ISNUMBER(AR72),AV71,0)</f>
        <v>0</v>
      </c>
      <c r="AT72" s="183"/>
      <c r="AU72" s="183">
        <f t="shared" si="10"/>
        <v>0</v>
      </c>
      <c r="AV72" s="183">
        <f t="shared" ref="AV72:AV113" si="13">AS72</f>
        <v>0</v>
      </c>
      <c r="AW72" s="117">
        <f t="shared" si="7"/>
        <v>0</v>
      </c>
      <c r="AX72" s="184">
        <f t="shared" si="8"/>
        <v>0</v>
      </c>
      <c r="AY72" s="117">
        <f t="shared" si="11"/>
        <v>0</v>
      </c>
      <c r="AZ72" s="117"/>
    </row>
    <row r="73" spans="44:52" s="14" customFormat="1" ht="14">
      <c r="AR73" s="117" t="str">
        <f t="shared" si="9"/>
        <v/>
      </c>
      <c r="AS73" s="183">
        <f t="shared" si="12"/>
        <v>0</v>
      </c>
      <c r="AT73" s="183"/>
      <c r="AU73" s="183">
        <f t="shared" si="10"/>
        <v>0</v>
      </c>
      <c r="AV73" s="183">
        <f t="shared" si="13"/>
        <v>0</v>
      </c>
      <c r="AW73" s="117">
        <f t="shared" si="7"/>
        <v>0</v>
      </c>
      <c r="AX73" s="184">
        <f t="shared" si="8"/>
        <v>0</v>
      </c>
      <c r="AY73" s="117">
        <f t="shared" si="11"/>
        <v>0</v>
      </c>
      <c r="AZ73" s="117"/>
    </row>
    <row r="74" spans="44:52" s="14" customFormat="1" ht="14">
      <c r="AR74" s="117" t="str">
        <f t="shared" si="9"/>
        <v/>
      </c>
      <c r="AS74" s="183">
        <f t="shared" si="12"/>
        <v>0</v>
      </c>
      <c r="AT74" s="183"/>
      <c r="AU74" s="183">
        <f t="shared" si="10"/>
        <v>0</v>
      </c>
      <c r="AV74" s="183">
        <f t="shared" si="13"/>
        <v>0</v>
      </c>
      <c r="AW74" s="117">
        <f t="shared" si="7"/>
        <v>0</v>
      </c>
      <c r="AX74" s="184">
        <f t="shared" si="8"/>
        <v>0</v>
      </c>
      <c r="AY74" s="117">
        <f t="shared" si="11"/>
        <v>0</v>
      </c>
      <c r="AZ74" s="117"/>
    </row>
    <row r="75" spans="44:52" s="14" customFormat="1" ht="14">
      <c r="AR75" s="117" t="str">
        <f t="shared" si="9"/>
        <v/>
      </c>
      <c r="AS75" s="183">
        <f t="shared" si="12"/>
        <v>0</v>
      </c>
      <c r="AT75" s="183"/>
      <c r="AU75" s="183">
        <f t="shared" si="10"/>
        <v>0</v>
      </c>
      <c r="AV75" s="183">
        <f t="shared" si="13"/>
        <v>0</v>
      </c>
      <c r="AW75" s="117">
        <f t="shared" si="7"/>
        <v>0</v>
      </c>
      <c r="AX75" s="184">
        <f t="shared" si="8"/>
        <v>0</v>
      </c>
      <c r="AY75" s="117">
        <f t="shared" si="11"/>
        <v>0</v>
      </c>
      <c r="AZ75" s="117"/>
    </row>
    <row r="76" spans="44:52" s="14" customFormat="1" ht="14">
      <c r="AR76" s="117" t="str">
        <f t="shared" si="9"/>
        <v/>
      </c>
      <c r="AS76" s="183">
        <f t="shared" si="12"/>
        <v>0</v>
      </c>
      <c r="AT76" s="183"/>
      <c r="AU76" s="183">
        <f t="shared" si="10"/>
        <v>0</v>
      </c>
      <c r="AV76" s="183">
        <f t="shared" si="13"/>
        <v>0</v>
      </c>
      <c r="AW76" s="117">
        <f t="shared" si="7"/>
        <v>0</v>
      </c>
      <c r="AX76" s="184">
        <f t="shared" si="8"/>
        <v>0</v>
      </c>
      <c r="AY76" s="117">
        <f t="shared" si="11"/>
        <v>0</v>
      </c>
      <c r="AZ76" s="117"/>
    </row>
    <row r="77" spans="44:52" s="14" customFormat="1" ht="14">
      <c r="AR77" s="117" t="str">
        <f t="shared" si="9"/>
        <v/>
      </c>
      <c r="AS77" s="183">
        <f t="shared" si="12"/>
        <v>0</v>
      </c>
      <c r="AT77" s="183"/>
      <c r="AU77" s="183">
        <f t="shared" si="10"/>
        <v>0</v>
      </c>
      <c r="AV77" s="183">
        <f t="shared" si="13"/>
        <v>0</v>
      </c>
      <c r="AW77" s="117">
        <f t="shared" si="7"/>
        <v>0</v>
      </c>
      <c r="AX77" s="184">
        <f t="shared" si="8"/>
        <v>0</v>
      </c>
      <c r="AY77" s="117">
        <f t="shared" si="11"/>
        <v>0</v>
      </c>
      <c r="AZ77" s="117"/>
    </row>
    <row r="78" spans="44:52" s="14" customFormat="1" ht="14">
      <c r="AR78" s="117" t="str">
        <f t="shared" si="9"/>
        <v/>
      </c>
      <c r="AS78" s="183">
        <f t="shared" si="12"/>
        <v>0</v>
      </c>
      <c r="AT78" s="183"/>
      <c r="AU78" s="183">
        <f t="shared" si="10"/>
        <v>0</v>
      </c>
      <c r="AV78" s="183">
        <f t="shared" si="13"/>
        <v>0</v>
      </c>
      <c r="AW78" s="117">
        <f t="shared" si="7"/>
        <v>0</v>
      </c>
      <c r="AX78" s="184">
        <f t="shared" si="8"/>
        <v>0</v>
      </c>
      <c r="AY78" s="117">
        <f t="shared" si="11"/>
        <v>0</v>
      </c>
      <c r="AZ78" s="117"/>
    </row>
    <row r="79" spans="44:52" s="14" customFormat="1" ht="14">
      <c r="AR79" s="117" t="str">
        <f t="shared" si="9"/>
        <v/>
      </c>
      <c r="AS79" s="183">
        <f t="shared" si="12"/>
        <v>0</v>
      </c>
      <c r="AT79" s="183"/>
      <c r="AU79" s="183">
        <f t="shared" si="10"/>
        <v>0</v>
      </c>
      <c r="AV79" s="183">
        <f t="shared" si="13"/>
        <v>0</v>
      </c>
      <c r="AW79" s="117">
        <f t="shared" si="7"/>
        <v>0</v>
      </c>
      <c r="AX79" s="184">
        <f t="shared" si="8"/>
        <v>0</v>
      </c>
      <c r="AY79" s="117">
        <f t="shared" si="11"/>
        <v>0</v>
      </c>
      <c r="AZ79" s="117"/>
    </row>
    <row r="80" spans="44:52" s="14" customFormat="1" ht="14">
      <c r="AR80" s="117" t="str">
        <f t="shared" si="9"/>
        <v/>
      </c>
      <c r="AS80" s="183">
        <f t="shared" si="12"/>
        <v>0</v>
      </c>
      <c r="AT80" s="183"/>
      <c r="AU80" s="183">
        <f t="shared" si="10"/>
        <v>0</v>
      </c>
      <c r="AV80" s="183">
        <f t="shared" si="13"/>
        <v>0</v>
      </c>
      <c r="AW80" s="117">
        <f t="shared" si="7"/>
        <v>0</v>
      </c>
      <c r="AX80" s="184">
        <f t="shared" si="8"/>
        <v>0</v>
      </c>
      <c r="AY80" s="117">
        <f t="shared" si="11"/>
        <v>0</v>
      </c>
      <c r="AZ80" s="117"/>
    </row>
    <row r="81" spans="44:52" s="14" customFormat="1" ht="14">
      <c r="AR81" s="117" t="str">
        <f t="shared" si="9"/>
        <v/>
      </c>
      <c r="AS81" s="183">
        <f t="shared" si="12"/>
        <v>0</v>
      </c>
      <c r="AT81" s="183"/>
      <c r="AU81" s="183">
        <f t="shared" si="10"/>
        <v>0</v>
      </c>
      <c r="AV81" s="183">
        <f t="shared" si="13"/>
        <v>0</v>
      </c>
      <c r="AW81" s="117">
        <f t="shared" ref="AW81:AW113" si="14">IF(ISNUMBER(AR82),SUM(AT81:AU81),SUM(AT81:AV81))</f>
        <v>0</v>
      </c>
      <c r="AX81" s="184">
        <f t="shared" si="8"/>
        <v>0</v>
      </c>
      <c r="AY81" s="117">
        <f t="shared" si="11"/>
        <v>0</v>
      </c>
      <c r="AZ81" s="117"/>
    </row>
    <row r="82" spans="44:52" s="14" customFormat="1" ht="14">
      <c r="AR82" s="117" t="str">
        <f t="shared" si="9"/>
        <v/>
      </c>
      <c r="AS82" s="183">
        <f t="shared" si="12"/>
        <v>0</v>
      </c>
      <c r="AT82" s="183"/>
      <c r="AU82" s="183">
        <f t="shared" si="10"/>
        <v>0</v>
      </c>
      <c r="AV82" s="183">
        <f t="shared" si="13"/>
        <v>0</v>
      </c>
      <c r="AW82" s="117">
        <f t="shared" si="14"/>
        <v>0</v>
      </c>
      <c r="AX82" s="184">
        <f t="shared" si="8"/>
        <v>0</v>
      </c>
      <c r="AY82" s="117">
        <f t="shared" si="11"/>
        <v>0</v>
      </c>
      <c r="AZ82" s="117"/>
    </row>
    <row r="83" spans="44:52" s="14" customFormat="1" ht="14">
      <c r="AR83" s="117" t="str">
        <f t="shared" si="9"/>
        <v/>
      </c>
      <c r="AS83" s="183">
        <f t="shared" si="12"/>
        <v>0</v>
      </c>
      <c r="AT83" s="183"/>
      <c r="AU83" s="183">
        <f t="shared" si="10"/>
        <v>0</v>
      </c>
      <c r="AV83" s="183">
        <f t="shared" si="13"/>
        <v>0</v>
      </c>
      <c r="AW83" s="117">
        <f t="shared" si="14"/>
        <v>0</v>
      </c>
      <c r="AX83" s="184">
        <f t="shared" si="8"/>
        <v>0</v>
      </c>
      <c r="AY83" s="117">
        <f t="shared" si="11"/>
        <v>0</v>
      </c>
      <c r="AZ83" s="117"/>
    </row>
    <row r="84" spans="44:52" s="14" customFormat="1" ht="14">
      <c r="AR84" s="117" t="str">
        <f t="shared" si="9"/>
        <v/>
      </c>
      <c r="AS84" s="183">
        <f t="shared" si="12"/>
        <v>0</v>
      </c>
      <c r="AT84" s="183"/>
      <c r="AU84" s="183">
        <f t="shared" si="10"/>
        <v>0</v>
      </c>
      <c r="AV84" s="183">
        <f t="shared" si="13"/>
        <v>0</v>
      </c>
      <c r="AW84" s="117">
        <f t="shared" si="14"/>
        <v>0</v>
      </c>
      <c r="AX84" s="184">
        <f t="shared" si="8"/>
        <v>0</v>
      </c>
      <c r="AY84" s="117">
        <f t="shared" si="11"/>
        <v>0</v>
      </c>
      <c r="AZ84" s="117"/>
    </row>
    <row r="85" spans="44:52" s="14" customFormat="1" ht="14">
      <c r="AR85" s="117" t="str">
        <f t="shared" si="9"/>
        <v/>
      </c>
      <c r="AS85" s="183">
        <f t="shared" si="12"/>
        <v>0</v>
      </c>
      <c r="AT85" s="183"/>
      <c r="AU85" s="183">
        <f t="shared" si="10"/>
        <v>0</v>
      </c>
      <c r="AV85" s="183">
        <f t="shared" si="13"/>
        <v>0</v>
      </c>
      <c r="AW85" s="117">
        <f t="shared" si="14"/>
        <v>0</v>
      </c>
      <c r="AX85" s="184">
        <f t="shared" si="8"/>
        <v>0</v>
      </c>
      <c r="AY85" s="117">
        <f t="shared" si="11"/>
        <v>0</v>
      </c>
      <c r="AZ85" s="117"/>
    </row>
    <row r="86" spans="44:52" s="14" customFormat="1" ht="14">
      <c r="AR86" s="117" t="str">
        <f t="shared" si="9"/>
        <v/>
      </c>
      <c r="AS86" s="183">
        <f t="shared" si="12"/>
        <v>0</v>
      </c>
      <c r="AT86" s="183"/>
      <c r="AU86" s="183">
        <f t="shared" si="10"/>
        <v>0</v>
      </c>
      <c r="AV86" s="183">
        <f t="shared" si="13"/>
        <v>0</v>
      </c>
      <c r="AW86" s="117">
        <f t="shared" si="14"/>
        <v>0</v>
      </c>
      <c r="AX86" s="184">
        <f t="shared" si="8"/>
        <v>0</v>
      </c>
      <c r="AY86" s="117">
        <f t="shared" si="11"/>
        <v>0</v>
      </c>
      <c r="AZ86" s="117"/>
    </row>
    <row r="87" spans="44:52" s="14" customFormat="1" ht="14">
      <c r="AR87" s="117" t="str">
        <f t="shared" si="9"/>
        <v/>
      </c>
      <c r="AS87" s="183">
        <f t="shared" si="12"/>
        <v>0</v>
      </c>
      <c r="AT87" s="183"/>
      <c r="AU87" s="183">
        <f t="shared" si="10"/>
        <v>0</v>
      </c>
      <c r="AV87" s="183">
        <f t="shared" si="13"/>
        <v>0</v>
      </c>
      <c r="AW87" s="117">
        <f t="shared" si="14"/>
        <v>0</v>
      </c>
      <c r="AX87" s="184">
        <f t="shared" si="8"/>
        <v>0</v>
      </c>
      <c r="AY87" s="117">
        <f t="shared" si="11"/>
        <v>0</v>
      </c>
      <c r="AZ87" s="117"/>
    </row>
    <row r="88" spans="44:52" s="14" customFormat="1" ht="14">
      <c r="AR88" s="117" t="str">
        <f t="shared" si="9"/>
        <v/>
      </c>
      <c r="AS88" s="183">
        <f t="shared" si="12"/>
        <v>0</v>
      </c>
      <c r="AT88" s="183"/>
      <c r="AU88" s="183">
        <f t="shared" si="10"/>
        <v>0</v>
      </c>
      <c r="AV88" s="183">
        <f t="shared" si="13"/>
        <v>0</v>
      </c>
      <c r="AW88" s="117">
        <f t="shared" si="14"/>
        <v>0</v>
      </c>
      <c r="AX88" s="184">
        <f t="shared" si="8"/>
        <v>0</v>
      </c>
      <c r="AY88" s="117">
        <f t="shared" si="11"/>
        <v>0</v>
      </c>
      <c r="AZ88" s="117"/>
    </row>
    <row r="89" spans="44:52" s="14" customFormat="1" ht="14">
      <c r="AR89" s="117" t="str">
        <f t="shared" si="9"/>
        <v/>
      </c>
      <c r="AS89" s="183">
        <f t="shared" si="12"/>
        <v>0</v>
      </c>
      <c r="AT89" s="183"/>
      <c r="AU89" s="183">
        <f t="shared" si="10"/>
        <v>0</v>
      </c>
      <c r="AV89" s="183">
        <f t="shared" si="13"/>
        <v>0</v>
      </c>
      <c r="AW89" s="117">
        <f t="shared" si="14"/>
        <v>0</v>
      </c>
      <c r="AX89" s="184">
        <f t="shared" si="8"/>
        <v>0</v>
      </c>
      <c r="AY89" s="117">
        <f t="shared" si="11"/>
        <v>0</v>
      </c>
      <c r="AZ89" s="117"/>
    </row>
    <row r="90" spans="44:52" s="14" customFormat="1" ht="14">
      <c r="AR90" s="117" t="str">
        <f t="shared" si="9"/>
        <v/>
      </c>
      <c r="AS90" s="183">
        <f t="shared" si="12"/>
        <v>0</v>
      </c>
      <c r="AT90" s="183"/>
      <c r="AU90" s="183">
        <f t="shared" si="10"/>
        <v>0</v>
      </c>
      <c r="AV90" s="183">
        <f t="shared" si="13"/>
        <v>0</v>
      </c>
      <c r="AW90" s="117">
        <f t="shared" si="14"/>
        <v>0</v>
      </c>
      <c r="AX90" s="184">
        <f t="shared" si="8"/>
        <v>0</v>
      </c>
      <c r="AY90" s="117">
        <f t="shared" si="11"/>
        <v>0</v>
      </c>
      <c r="AZ90" s="117"/>
    </row>
    <row r="91" spans="44:52" s="14" customFormat="1" ht="14">
      <c r="AR91" s="117" t="str">
        <f t="shared" si="9"/>
        <v/>
      </c>
      <c r="AS91" s="183">
        <f t="shared" si="12"/>
        <v>0</v>
      </c>
      <c r="AT91" s="183"/>
      <c r="AU91" s="183">
        <f t="shared" si="10"/>
        <v>0</v>
      </c>
      <c r="AV91" s="183">
        <f t="shared" si="13"/>
        <v>0</v>
      </c>
      <c r="AW91" s="117">
        <f t="shared" si="14"/>
        <v>0</v>
      </c>
      <c r="AX91" s="184">
        <f t="shared" si="8"/>
        <v>0</v>
      </c>
      <c r="AY91" s="117">
        <f t="shared" si="11"/>
        <v>0</v>
      </c>
      <c r="AZ91" s="117"/>
    </row>
    <row r="92" spans="44:52" s="14" customFormat="1" ht="14">
      <c r="AR92" s="117" t="str">
        <f t="shared" si="9"/>
        <v/>
      </c>
      <c r="AS92" s="183">
        <f t="shared" si="12"/>
        <v>0</v>
      </c>
      <c r="AT92" s="183"/>
      <c r="AU92" s="183">
        <f t="shared" si="10"/>
        <v>0</v>
      </c>
      <c r="AV92" s="183">
        <f t="shared" si="13"/>
        <v>0</v>
      </c>
      <c r="AW92" s="117">
        <f t="shared" si="14"/>
        <v>0</v>
      </c>
      <c r="AX92" s="184">
        <f t="shared" si="8"/>
        <v>0</v>
      </c>
      <c r="AY92" s="117">
        <f t="shared" si="11"/>
        <v>0</v>
      </c>
      <c r="AZ92" s="117"/>
    </row>
    <row r="93" spans="44:52" s="14" customFormat="1" ht="14">
      <c r="AR93" s="117" t="str">
        <f t="shared" si="9"/>
        <v/>
      </c>
      <c r="AS93" s="183">
        <f t="shared" si="12"/>
        <v>0</v>
      </c>
      <c r="AT93" s="183"/>
      <c r="AU93" s="183">
        <f t="shared" si="10"/>
        <v>0</v>
      </c>
      <c r="AV93" s="183">
        <f t="shared" si="13"/>
        <v>0</v>
      </c>
      <c r="AW93" s="117">
        <f t="shared" si="14"/>
        <v>0</v>
      </c>
      <c r="AX93" s="184">
        <f t="shared" si="8"/>
        <v>0</v>
      </c>
      <c r="AY93" s="117">
        <f t="shared" si="11"/>
        <v>0</v>
      </c>
      <c r="AZ93" s="117"/>
    </row>
    <row r="94" spans="44:52" s="14" customFormat="1" ht="14">
      <c r="AR94" s="117" t="str">
        <f t="shared" si="9"/>
        <v/>
      </c>
      <c r="AS94" s="183">
        <f t="shared" si="12"/>
        <v>0</v>
      </c>
      <c r="AT94" s="183"/>
      <c r="AU94" s="183">
        <f t="shared" si="10"/>
        <v>0</v>
      </c>
      <c r="AV94" s="183">
        <f t="shared" si="13"/>
        <v>0</v>
      </c>
      <c r="AW94" s="117">
        <f t="shared" si="14"/>
        <v>0</v>
      </c>
      <c r="AX94" s="184">
        <f t="shared" si="8"/>
        <v>0</v>
      </c>
      <c r="AY94" s="117">
        <f t="shared" si="11"/>
        <v>0</v>
      </c>
      <c r="AZ94" s="117"/>
    </row>
    <row r="95" spans="44:52" s="14" customFormat="1" ht="14">
      <c r="AR95" s="117" t="str">
        <f t="shared" si="9"/>
        <v/>
      </c>
      <c r="AS95" s="183">
        <f t="shared" si="12"/>
        <v>0</v>
      </c>
      <c r="AT95" s="183"/>
      <c r="AU95" s="183">
        <f t="shared" si="10"/>
        <v>0</v>
      </c>
      <c r="AV95" s="183">
        <f t="shared" si="13"/>
        <v>0</v>
      </c>
      <c r="AW95" s="117">
        <f t="shared" si="14"/>
        <v>0</v>
      </c>
      <c r="AX95" s="184">
        <f t="shared" si="8"/>
        <v>0</v>
      </c>
      <c r="AY95" s="117">
        <f t="shared" si="11"/>
        <v>0</v>
      </c>
      <c r="AZ95" s="117"/>
    </row>
    <row r="96" spans="44:52" s="14" customFormat="1" ht="14">
      <c r="AR96" s="117" t="str">
        <f t="shared" si="9"/>
        <v/>
      </c>
      <c r="AS96" s="183">
        <f t="shared" si="12"/>
        <v>0</v>
      </c>
      <c r="AT96" s="183"/>
      <c r="AU96" s="183">
        <f t="shared" si="10"/>
        <v>0</v>
      </c>
      <c r="AV96" s="183">
        <f t="shared" si="13"/>
        <v>0</v>
      </c>
      <c r="AW96" s="117">
        <f t="shared" si="14"/>
        <v>0</v>
      </c>
      <c r="AX96" s="184">
        <f t="shared" si="8"/>
        <v>0</v>
      </c>
      <c r="AY96" s="117">
        <f t="shared" si="11"/>
        <v>0</v>
      </c>
      <c r="AZ96" s="117"/>
    </row>
    <row r="97" spans="44:52" s="14" customFormat="1" ht="14">
      <c r="AR97" s="117" t="str">
        <f t="shared" si="9"/>
        <v/>
      </c>
      <c r="AS97" s="183">
        <f t="shared" si="12"/>
        <v>0</v>
      </c>
      <c r="AT97" s="183"/>
      <c r="AU97" s="183">
        <f t="shared" si="10"/>
        <v>0</v>
      </c>
      <c r="AV97" s="183">
        <f t="shared" si="13"/>
        <v>0</v>
      </c>
      <c r="AW97" s="117">
        <f t="shared" si="14"/>
        <v>0</v>
      </c>
      <c r="AX97" s="184">
        <f t="shared" si="8"/>
        <v>0</v>
      </c>
      <c r="AY97" s="117">
        <f t="shared" si="11"/>
        <v>0</v>
      </c>
      <c r="AZ97" s="117"/>
    </row>
    <row r="98" spans="44:52" s="14" customFormat="1" ht="14">
      <c r="AR98" s="117" t="str">
        <f t="shared" si="9"/>
        <v/>
      </c>
      <c r="AS98" s="183">
        <f t="shared" si="12"/>
        <v>0</v>
      </c>
      <c r="AT98" s="183"/>
      <c r="AU98" s="183">
        <f t="shared" si="10"/>
        <v>0</v>
      </c>
      <c r="AV98" s="183">
        <f t="shared" si="13"/>
        <v>0</v>
      </c>
      <c r="AW98" s="117">
        <f t="shared" si="14"/>
        <v>0</v>
      </c>
      <c r="AX98" s="184">
        <f t="shared" si="8"/>
        <v>0</v>
      </c>
      <c r="AY98" s="117">
        <f t="shared" si="11"/>
        <v>0</v>
      </c>
      <c r="AZ98" s="117"/>
    </row>
    <row r="99" spans="44:52" s="14" customFormat="1" ht="14">
      <c r="AR99" s="117" t="str">
        <f t="shared" si="9"/>
        <v/>
      </c>
      <c r="AS99" s="183">
        <f t="shared" si="12"/>
        <v>0</v>
      </c>
      <c r="AT99" s="183"/>
      <c r="AU99" s="183">
        <f t="shared" si="10"/>
        <v>0</v>
      </c>
      <c r="AV99" s="183">
        <f t="shared" si="13"/>
        <v>0</v>
      </c>
      <c r="AW99" s="117">
        <f t="shared" si="14"/>
        <v>0</v>
      </c>
      <c r="AX99" s="184">
        <f t="shared" si="8"/>
        <v>0</v>
      </c>
      <c r="AY99" s="117">
        <f t="shared" si="11"/>
        <v>0</v>
      </c>
      <c r="AZ99" s="117"/>
    </row>
    <row r="100" spans="44:52" s="14" customFormat="1" ht="14">
      <c r="AR100" s="117" t="str">
        <f t="shared" si="9"/>
        <v/>
      </c>
      <c r="AS100" s="183">
        <f t="shared" si="12"/>
        <v>0</v>
      </c>
      <c r="AT100" s="183"/>
      <c r="AU100" s="183">
        <f t="shared" si="10"/>
        <v>0</v>
      </c>
      <c r="AV100" s="183">
        <f t="shared" si="13"/>
        <v>0</v>
      </c>
      <c r="AW100" s="117">
        <f t="shared" si="14"/>
        <v>0</v>
      </c>
      <c r="AX100" s="184">
        <f t="shared" si="8"/>
        <v>0</v>
      </c>
      <c r="AY100" s="117">
        <f t="shared" si="11"/>
        <v>0</v>
      </c>
      <c r="AZ100" s="117"/>
    </row>
    <row r="101" spans="44:52" s="14" customFormat="1" ht="14">
      <c r="AR101" s="117" t="str">
        <f t="shared" si="9"/>
        <v/>
      </c>
      <c r="AS101" s="183">
        <f t="shared" si="12"/>
        <v>0</v>
      </c>
      <c r="AT101" s="183"/>
      <c r="AU101" s="183">
        <f t="shared" si="10"/>
        <v>0</v>
      </c>
      <c r="AV101" s="183">
        <f t="shared" si="13"/>
        <v>0</v>
      </c>
      <c r="AW101" s="117">
        <f t="shared" si="14"/>
        <v>0</v>
      </c>
      <c r="AX101" s="184">
        <f t="shared" si="8"/>
        <v>0</v>
      </c>
      <c r="AY101" s="117">
        <f t="shared" si="11"/>
        <v>0</v>
      </c>
      <c r="AZ101" s="117"/>
    </row>
    <row r="102" spans="44:52" s="14" customFormat="1" ht="14">
      <c r="AR102" s="117" t="str">
        <f t="shared" si="9"/>
        <v/>
      </c>
      <c r="AS102" s="183">
        <f t="shared" si="12"/>
        <v>0</v>
      </c>
      <c r="AT102" s="183"/>
      <c r="AU102" s="183">
        <f t="shared" si="10"/>
        <v>0</v>
      </c>
      <c r="AV102" s="183">
        <f t="shared" si="13"/>
        <v>0</v>
      </c>
      <c r="AW102" s="117">
        <f t="shared" si="14"/>
        <v>0</v>
      </c>
      <c r="AX102" s="184">
        <f t="shared" ref="AX102:AX113" si="15">LN(AW102+$J$36)-LN($J$36)</f>
        <v>0</v>
      </c>
      <c r="AY102" s="117">
        <f t="shared" si="11"/>
        <v>0</v>
      </c>
      <c r="AZ102" s="117"/>
    </row>
    <row r="103" spans="44:52" s="14" customFormat="1" ht="14">
      <c r="AR103" s="117" t="str">
        <f t="shared" si="9"/>
        <v/>
      </c>
      <c r="AS103" s="183">
        <f t="shared" si="12"/>
        <v>0</v>
      </c>
      <c r="AT103" s="183"/>
      <c r="AU103" s="183">
        <f t="shared" si="10"/>
        <v>0</v>
      </c>
      <c r="AV103" s="183">
        <f t="shared" si="13"/>
        <v>0</v>
      </c>
      <c r="AW103" s="117">
        <f t="shared" si="14"/>
        <v>0</v>
      </c>
      <c r="AX103" s="184">
        <f t="shared" si="15"/>
        <v>0</v>
      </c>
      <c r="AY103" s="117">
        <f t="shared" si="11"/>
        <v>0</v>
      </c>
      <c r="AZ103" s="117"/>
    </row>
    <row r="104" spans="44:52" s="14" customFormat="1" ht="14">
      <c r="AR104" s="117" t="str">
        <f t="shared" si="9"/>
        <v/>
      </c>
      <c r="AS104" s="183">
        <f t="shared" si="12"/>
        <v>0</v>
      </c>
      <c r="AT104" s="183"/>
      <c r="AU104" s="183">
        <f t="shared" si="10"/>
        <v>0</v>
      </c>
      <c r="AV104" s="183">
        <f t="shared" si="13"/>
        <v>0</v>
      </c>
      <c r="AW104" s="117">
        <f t="shared" si="14"/>
        <v>0</v>
      </c>
      <c r="AX104" s="184">
        <f t="shared" si="15"/>
        <v>0</v>
      </c>
      <c r="AY104" s="117">
        <f t="shared" si="11"/>
        <v>0</v>
      </c>
      <c r="AZ104" s="117"/>
    </row>
    <row r="105" spans="44:52" s="14" customFormat="1" ht="14">
      <c r="AR105" s="117" t="str">
        <f t="shared" si="9"/>
        <v/>
      </c>
      <c r="AS105" s="183">
        <f t="shared" si="12"/>
        <v>0</v>
      </c>
      <c r="AT105" s="183"/>
      <c r="AU105" s="183">
        <f t="shared" si="10"/>
        <v>0</v>
      </c>
      <c r="AV105" s="183">
        <f t="shared" si="13"/>
        <v>0</v>
      </c>
      <c r="AW105" s="117">
        <f t="shared" si="14"/>
        <v>0</v>
      </c>
      <c r="AX105" s="184">
        <f t="shared" si="15"/>
        <v>0</v>
      </c>
      <c r="AY105" s="117">
        <f t="shared" si="11"/>
        <v>0</v>
      </c>
      <c r="AZ105" s="117"/>
    </row>
    <row r="106" spans="44:52" s="14" customFormat="1" ht="14">
      <c r="AR106" s="117" t="str">
        <f t="shared" si="9"/>
        <v/>
      </c>
      <c r="AS106" s="183">
        <f t="shared" si="12"/>
        <v>0</v>
      </c>
      <c r="AT106" s="183"/>
      <c r="AU106" s="183">
        <f t="shared" si="10"/>
        <v>0</v>
      </c>
      <c r="AV106" s="183">
        <f t="shared" si="13"/>
        <v>0</v>
      </c>
      <c r="AW106" s="117">
        <f t="shared" si="14"/>
        <v>0</v>
      </c>
      <c r="AX106" s="184">
        <f t="shared" si="15"/>
        <v>0</v>
      </c>
      <c r="AY106" s="117">
        <f t="shared" si="11"/>
        <v>0</v>
      </c>
      <c r="AZ106" s="117"/>
    </row>
    <row r="107" spans="44:52" s="14" customFormat="1" ht="14">
      <c r="AR107" s="117" t="str">
        <f t="shared" si="9"/>
        <v/>
      </c>
      <c r="AS107" s="183">
        <f t="shared" si="12"/>
        <v>0</v>
      </c>
      <c r="AT107" s="183"/>
      <c r="AU107" s="183">
        <f t="shared" si="10"/>
        <v>0</v>
      </c>
      <c r="AV107" s="183">
        <f t="shared" si="13"/>
        <v>0</v>
      </c>
      <c r="AW107" s="117">
        <f t="shared" si="14"/>
        <v>0</v>
      </c>
      <c r="AX107" s="184">
        <f t="shared" si="15"/>
        <v>0</v>
      </c>
      <c r="AY107" s="117">
        <f t="shared" si="11"/>
        <v>0</v>
      </c>
      <c r="AZ107" s="117"/>
    </row>
    <row r="108" spans="44:52" s="14" customFormat="1" ht="14">
      <c r="AR108" s="117" t="str">
        <f t="shared" si="9"/>
        <v/>
      </c>
      <c r="AS108" s="183">
        <f t="shared" si="12"/>
        <v>0</v>
      </c>
      <c r="AT108" s="183"/>
      <c r="AU108" s="183">
        <f t="shared" si="10"/>
        <v>0</v>
      </c>
      <c r="AV108" s="183">
        <f t="shared" si="13"/>
        <v>0</v>
      </c>
      <c r="AW108" s="117">
        <f t="shared" si="14"/>
        <v>0</v>
      </c>
      <c r="AX108" s="184">
        <f t="shared" si="15"/>
        <v>0</v>
      </c>
      <c r="AY108" s="117">
        <f t="shared" si="11"/>
        <v>0</v>
      </c>
      <c r="AZ108" s="117"/>
    </row>
    <row r="109" spans="44:52" s="14" customFormat="1" ht="14">
      <c r="AR109" s="117" t="str">
        <f t="shared" si="9"/>
        <v/>
      </c>
      <c r="AS109" s="183">
        <f t="shared" si="12"/>
        <v>0</v>
      </c>
      <c r="AT109" s="183"/>
      <c r="AU109" s="183">
        <f t="shared" si="10"/>
        <v>0</v>
      </c>
      <c r="AV109" s="183">
        <f t="shared" si="13"/>
        <v>0</v>
      </c>
      <c r="AW109" s="117">
        <f t="shared" si="14"/>
        <v>0</v>
      </c>
      <c r="AX109" s="184">
        <f t="shared" si="15"/>
        <v>0</v>
      </c>
      <c r="AY109" s="117">
        <f t="shared" si="11"/>
        <v>0</v>
      </c>
      <c r="AZ109" s="117"/>
    </row>
    <row r="110" spans="44:52" s="14" customFormat="1" ht="14">
      <c r="AR110" s="117" t="str">
        <f t="shared" si="9"/>
        <v/>
      </c>
      <c r="AS110" s="183">
        <f t="shared" si="12"/>
        <v>0</v>
      </c>
      <c r="AT110" s="183"/>
      <c r="AU110" s="183">
        <f t="shared" si="10"/>
        <v>0</v>
      </c>
      <c r="AV110" s="183">
        <f t="shared" si="13"/>
        <v>0</v>
      </c>
      <c r="AW110" s="117">
        <f t="shared" si="14"/>
        <v>0</v>
      </c>
      <c r="AX110" s="184">
        <f t="shared" si="15"/>
        <v>0</v>
      </c>
      <c r="AY110" s="117">
        <f t="shared" si="11"/>
        <v>0</v>
      </c>
      <c r="AZ110" s="117"/>
    </row>
    <row r="111" spans="44:52" s="14" customFormat="1" ht="14">
      <c r="AR111" s="117" t="str">
        <f t="shared" si="9"/>
        <v/>
      </c>
      <c r="AS111" s="183">
        <f t="shared" si="12"/>
        <v>0</v>
      </c>
      <c r="AT111" s="183"/>
      <c r="AU111" s="183">
        <f t="shared" si="10"/>
        <v>0</v>
      </c>
      <c r="AV111" s="183">
        <f t="shared" si="13"/>
        <v>0</v>
      </c>
      <c r="AW111" s="117">
        <f t="shared" si="14"/>
        <v>0</v>
      </c>
      <c r="AX111" s="184">
        <f t="shared" si="15"/>
        <v>0</v>
      </c>
      <c r="AY111" s="117">
        <f t="shared" si="11"/>
        <v>0</v>
      </c>
      <c r="AZ111" s="117"/>
    </row>
    <row r="112" spans="44:52" s="14" customFormat="1" ht="14">
      <c r="AR112" s="117" t="str">
        <f t="shared" si="9"/>
        <v/>
      </c>
      <c r="AS112" s="183">
        <f t="shared" si="12"/>
        <v>0</v>
      </c>
      <c r="AT112" s="183"/>
      <c r="AU112" s="183">
        <f t="shared" si="10"/>
        <v>0</v>
      </c>
      <c r="AV112" s="183">
        <f t="shared" si="13"/>
        <v>0</v>
      </c>
      <c r="AW112" s="117">
        <f t="shared" si="14"/>
        <v>0</v>
      </c>
      <c r="AX112" s="184">
        <f t="shared" si="15"/>
        <v>0</v>
      </c>
      <c r="AY112" s="117">
        <f t="shared" si="11"/>
        <v>0</v>
      </c>
      <c r="AZ112" s="117"/>
    </row>
    <row r="113" spans="44:52" s="14" customFormat="1" ht="14">
      <c r="AR113" s="117" t="str">
        <f t="shared" si="9"/>
        <v/>
      </c>
      <c r="AS113" s="183">
        <f t="shared" si="12"/>
        <v>0</v>
      </c>
      <c r="AT113" s="183"/>
      <c r="AU113" s="183">
        <f t="shared" si="10"/>
        <v>0</v>
      </c>
      <c r="AV113" s="183">
        <f t="shared" si="13"/>
        <v>0</v>
      </c>
      <c r="AW113" s="117">
        <f t="shared" si="14"/>
        <v>0</v>
      </c>
      <c r="AX113" s="184">
        <f t="shared" si="15"/>
        <v>0</v>
      </c>
      <c r="AY113" s="117">
        <f t="shared" si="11"/>
        <v>0</v>
      </c>
      <c r="AZ113" s="117"/>
    </row>
    <row r="114" spans="44:52" s="14" customFormat="1" ht="14">
      <c r="AZ114" s="117"/>
    </row>
    <row r="115" spans="44:52" s="14" customFormat="1" ht="14">
      <c r="AZ115" s="117"/>
    </row>
    <row r="116" spans="44:52" s="14" customFormat="1" ht="14">
      <c r="AZ116" s="117"/>
    </row>
    <row r="117" spans="44:52" s="14" customFormat="1" ht="14">
      <c r="AZ117" s="117"/>
    </row>
    <row r="118" spans="44:52" ht="14">
      <c r="AZ118"/>
    </row>
  </sheetData>
  <mergeCells count="59">
    <mergeCell ref="H37:Q37"/>
    <mergeCell ref="R37:T37"/>
    <mergeCell ref="B35:B37"/>
    <mergeCell ref="D35:F35"/>
    <mergeCell ref="H35:I35"/>
    <mergeCell ref="J35:N35"/>
    <mergeCell ref="O35:P35"/>
    <mergeCell ref="D36:F36"/>
    <mergeCell ref="H36:I36"/>
    <mergeCell ref="J36:N36"/>
    <mergeCell ref="O36:P36"/>
    <mergeCell ref="D37:G37"/>
    <mergeCell ref="B23:E26"/>
    <mergeCell ref="Q25:Q28"/>
    <mergeCell ref="R29:V29"/>
    <mergeCell ref="R30:V30"/>
    <mergeCell ref="F31:F33"/>
    <mergeCell ref="R31:V31"/>
    <mergeCell ref="Q18:Q19"/>
    <mergeCell ref="T18:U18"/>
    <mergeCell ref="V18:W18"/>
    <mergeCell ref="T19:U19"/>
    <mergeCell ref="V19:W19"/>
    <mergeCell ref="F21:F24"/>
    <mergeCell ref="R21:S22"/>
    <mergeCell ref="U21:W22"/>
    <mergeCell ref="T15:U15"/>
    <mergeCell ref="C16:C17"/>
    <mergeCell ref="D16:D17"/>
    <mergeCell ref="F16:F17"/>
    <mergeCell ref="G16:G17"/>
    <mergeCell ref="S16:T16"/>
    <mergeCell ref="T10:U10"/>
    <mergeCell ref="T11:U11"/>
    <mergeCell ref="Q13:Q16"/>
    <mergeCell ref="T13:U13"/>
    <mergeCell ref="B14:B18"/>
    <mergeCell ref="C14:C15"/>
    <mergeCell ref="D14:D15"/>
    <mergeCell ref="F14:F15"/>
    <mergeCell ref="G14:G15"/>
    <mergeCell ref="T14:U14"/>
    <mergeCell ref="C6:D6"/>
    <mergeCell ref="I6:J6"/>
    <mergeCell ref="L6:M6"/>
    <mergeCell ref="T6:U6"/>
    <mergeCell ref="V6:W6"/>
    <mergeCell ref="B7:B11"/>
    <mergeCell ref="Q8:Q11"/>
    <mergeCell ref="T8:U8"/>
    <mergeCell ref="C9:D9"/>
    <mergeCell ref="T9:U9"/>
    <mergeCell ref="S2:T3"/>
    <mergeCell ref="B4:D5"/>
    <mergeCell ref="F4:G5"/>
    <mergeCell ref="T4:U4"/>
    <mergeCell ref="V4:W4"/>
    <mergeCell ref="T5:U5"/>
    <mergeCell ref="V5:W5"/>
  </mergeCell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35">
        <x14:dataValidation type="list" allowBlank="1" showInputMessage="1" showErrorMessage="1">
          <x14:formula1>
            <xm:f>Parameters!$C$29:$G$29</xm:f>
          </x14:formula1>
          <xm:sqref>J12</xm:sqref>
        </x14:dataValidation>
        <x14:dataValidation type="list" allowBlank="1" showInputMessage="1">
          <x14:formula1>
            <xm:f>Parameters!$C$7:$G$7</xm:f>
          </x14:formula1>
          <xm:sqref>D16:D17</xm:sqref>
        </x14:dataValidation>
        <x14:dataValidation type="list" allowBlank="1" showInputMessage="1">
          <x14:formula1>
            <xm:f>Parameters!$C$25:$G$25</xm:f>
          </x14:formula1>
          <xm:sqref>J14 K15</xm:sqref>
        </x14:dataValidation>
        <x14:dataValidation type="list" allowBlank="1" showInputMessage="1">
          <x14:formula1>
            <xm:f>Parameters!$C$18:$G$18</xm:f>
          </x14:formula1>
          <xm:sqref>J15 K14</xm:sqref>
        </x14:dataValidation>
        <x14:dataValidation type="list" allowBlank="1" showInputMessage="1">
          <x14:formula1>
            <xm:f>Parameters!$C$27:$G$27</xm:f>
          </x14:formula1>
          <xm:sqref>J11 K9</xm:sqref>
        </x14:dataValidation>
        <x14:dataValidation type="list" allowBlank="1" showInputMessage="1">
          <x14:formula1>
            <xm:f>Parameters!$C$28:$G$28</xm:f>
          </x14:formula1>
          <xm:sqref>J9</xm:sqref>
        </x14:dataValidation>
        <x14:dataValidation type="list" allowBlank="1" showInputMessage="1">
          <x14:formula1>
            <xm:f>Parameters!$C$55:$G$55</xm:f>
          </x14:formula1>
          <xm:sqref>M15</xm:sqref>
        </x14:dataValidation>
        <x14:dataValidation type="list" allowBlank="1" showInputMessage="1">
          <x14:formula1>
            <xm:f>Parameters!$C$54:$G$54</xm:f>
          </x14:formula1>
          <xm:sqref>M14</xm:sqref>
        </x14:dataValidation>
        <x14:dataValidation type="list" allowBlank="1" showInputMessage="1">
          <x14:formula1>
            <xm:f>Parameters!$C$53:$G$53</xm:f>
          </x14:formula1>
          <xm:sqref>M13</xm:sqref>
        </x14:dataValidation>
        <x14:dataValidation type="list" allowBlank="1" showInputMessage="1">
          <x14:formula1>
            <xm:f>Parameters!$C$52:$G$52</xm:f>
          </x14:formula1>
          <xm:sqref>M12</xm:sqref>
        </x14:dataValidation>
        <x14:dataValidation type="list" allowBlank="1" showInputMessage="1">
          <x14:formula1>
            <xm:f>Parameters!$C$51:$G$51</xm:f>
          </x14:formula1>
          <xm:sqref>M11</xm:sqref>
        </x14:dataValidation>
        <x14:dataValidation type="list" allowBlank="1" showInputMessage="1">
          <x14:formula1>
            <xm:f>Parameters!$C$50:$G$50</xm:f>
          </x14:formula1>
          <xm:sqref>M10</xm:sqref>
        </x14:dataValidation>
        <x14:dataValidation type="list" allowBlank="1" showInputMessage="1">
          <x14:formula1>
            <xm:f>Parameters!$C$49:$G$49</xm:f>
          </x14:formula1>
          <xm:sqref>M9</xm:sqref>
        </x14:dataValidation>
        <x14:dataValidation type="list" allowBlank="1" showInputMessage="1">
          <x14:formula1>
            <xm:f>Parameters!$C$48:$G$48</xm:f>
          </x14:formula1>
          <xm:sqref>M8</xm:sqref>
        </x14:dataValidation>
        <x14:dataValidation type="list" allowBlank="1" showInputMessage="1">
          <x14:formula1>
            <xm:f>Parameters!$C$47:$G$47</xm:f>
          </x14:formula1>
          <xm:sqref>M7</xm:sqref>
        </x14:dataValidation>
        <x14:dataValidation type="list" allowBlank="1" showInputMessage="1">
          <x14:formula1>
            <xm:f>Parameters!$C$19:$G$19</xm:f>
          </x14:formula1>
          <xm:sqref>J8</xm:sqref>
        </x14:dataValidation>
        <x14:dataValidation type="list" allowBlank="1" showInputMessage="1">
          <x14:formula1>
            <xm:f>Parameters!$D$19:$H$19</xm:f>
          </x14:formula1>
          <xm:sqref>K10</xm:sqref>
        </x14:dataValidation>
        <x14:dataValidation type="list" allowBlank="1" showInputMessage="1">
          <x14:formula1>
            <xm:f>Parameters!$C$26:$G$26</xm:f>
          </x14:formula1>
          <xm:sqref>J7</xm:sqref>
        </x14:dataValidation>
        <x14:dataValidation type="list" allowBlank="1" showInputMessage="1">
          <x14:formula1>
            <xm:f>Parameters!$D$26:$F$26</xm:f>
          </x14:formula1>
          <xm:sqref>K7</xm:sqref>
        </x14:dataValidation>
        <x14:dataValidation type="list" allowBlank="1" showInputMessage="1">
          <x14:formula1>
            <xm:f>Parameters!$C$21:$G$21</xm:f>
          </x14:formula1>
          <xm:sqref>J10</xm:sqref>
        </x14:dataValidation>
        <x14:dataValidation type="list" allowBlank="1" showInputMessage="1">
          <x14:formula1>
            <xm:f>Parameters!$C$24:$G$24</xm:f>
          </x14:formula1>
          <xm:sqref>J16:K16</xm:sqref>
        </x14:dataValidation>
        <x14:dataValidation type="list" allowBlank="1" showInputMessage="1">
          <x14:formula1>
            <xm:f>Parameters!$C$20:$G$20</xm:f>
          </x14:formula1>
          <xm:sqref>J18:K18</xm:sqref>
        </x14:dataValidation>
        <x14:dataValidation type="list" allowBlank="1" showInputMessage="1">
          <x14:formula1>
            <xm:f>Parameters!$C$17:$G$17</xm:f>
          </x14:formula1>
          <xm:sqref>J17:K17</xm:sqref>
        </x14:dataValidation>
        <x14:dataValidation type="list" allowBlank="1" showInputMessage="1">
          <x14:formula1>
            <xm:f>Parameters!$C$10:$G$10</xm:f>
          </x14:formula1>
          <xm:sqref>D7</xm:sqref>
        </x14:dataValidation>
        <x14:dataValidation type="list" allowBlank="1" showInputMessage="1">
          <x14:formula1>
            <xm:f>Parameters!$C$4:$G$4</xm:f>
          </x14:formula1>
          <xm:sqref>D10</xm:sqref>
        </x14:dataValidation>
        <x14:dataValidation type="list" allowBlank="1" showInputMessage="1">
          <x14:formula1>
            <xm:f>Parameters!$C$5:$G$5</xm:f>
          </x14:formula1>
          <xm:sqref>D11</xm:sqref>
        </x14:dataValidation>
        <x14:dataValidation type="list" allowBlank="1" showInputMessage="1">
          <x14:formula1>
            <xm:f>Parameters!$C$6:$G$6</xm:f>
          </x14:formula1>
          <xm:sqref>D14</xm:sqref>
        </x14:dataValidation>
        <x14:dataValidation type="list" allowBlank="1" showInputMessage="1">
          <x14:formula1>
            <xm:f>Parameters!$C$11:$G$11</xm:f>
          </x14:formula1>
          <xm:sqref>G7</xm:sqref>
        </x14:dataValidation>
        <x14:dataValidation type="list" allowBlank="1" showInputMessage="1">
          <x14:formula1>
            <xm:f>Parameters!$C$12:$G$12</xm:f>
          </x14:formula1>
          <xm:sqref>G9</xm:sqref>
        </x14:dataValidation>
        <x14:dataValidation type="list" allowBlank="1" showInputMessage="1">
          <x14:formula1>
            <xm:f>Parameters!$C$38:$G$38</xm:f>
          </x14:formula1>
          <xm:sqref>G11</xm:sqref>
        </x14:dataValidation>
        <x14:dataValidation type="list" allowBlank="1" showInputMessage="1">
          <x14:formula1>
            <xm:f>Parameters!$C$37:$G$37</xm:f>
          </x14:formula1>
          <xm:sqref>G14</xm:sqref>
        </x14:dataValidation>
        <x14:dataValidation type="list" allowBlank="1" showInputMessage="1">
          <x14:formula1>
            <xm:f>Parameters!$C$34:$G$34</xm:f>
          </x14:formula1>
          <xm:sqref>G16</xm:sqref>
        </x14:dataValidation>
        <x14:dataValidation type="list" allowBlank="1" showInputMessage="1">
          <x14:formula1>
            <xm:f>Parameters!$C$36:$G$36</xm:f>
          </x14:formula1>
          <xm:sqref>G18</xm:sqref>
        </x14:dataValidation>
        <x14:dataValidation type="list" allowBlank="1" showInputMessage="1">
          <x14:formula1>
            <xm:f>Parameters!$C$13:$G$13</xm:f>
          </x14:formula1>
          <xm:sqref>G8</xm:sqref>
        </x14:dataValidation>
        <x14:dataValidation type="list" allowBlank="1" showInputMessage="1">
          <x14:formula1>
            <xm:f>Parameters!$C$14:$G$14</xm:f>
          </x14:formula1>
          <xm:sqref>G10</xm:sqref>
        </x14:dataValidation>
      </x14:dataValidation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8"/>
  <sheetViews>
    <sheetView topLeftCell="A2" workbookViewId="0">
      <selection activeCell="J7" sqref="J7"/>
    </sheetView>
  </sheetViews>
  <sheetFormatPr baseColWidth="10" defaultColWidth="8.83203125" defaultRowHeight="11" x14ac:dyDescent="0"/>
  <cols>
    <col min="1" max="1" width="1.5" style="1" customWidth="1"/>
    <col min="2" max="2" width="9.33203125" style="1" customWidth="1"/>
    <col min="3" max="3" width="14.5" style="1" customWidth="1"/>
    <col min="4" max="4" width="5.83203125" style="1" customWidth="1"/>
    <col min="5" max="5" width="1.83203125" style="1" customWidth="1"/>
    <col min="6" max="6" width="18" style="1" customWidth="1"/>
    <col min="7" max="7" width="13.5" style="1" customWidth="1"/>
    <col min="8" max="8" width="1.33203125" style="1" customWidth="1"/>
    <col min="9" max="9" width="16.33203125" style="1" customWidth="1"/>
    <col min="10" max="10" width="8.5" style="1" customWidth="1"/>
    <col min="11" max="11" width="1.6640625" style="1" customWidth="1"/>
    <col min="12" max="12" width="22.83203125" style="1" customWidth="1"/>
    <col min="13" max="13" width="8.5" style="1" customWidth="1"/>
    <col min="14" max="14" width="0.83203125" style="1" customWidth="1"/>
    <col min="15" max="15" width="2.83203125" style="1" customWidth="1"/>
    <col min="16" max="16" width="2.6640625" style="1" customWidth="1"/>
    <col min="17" max="17" width="15.5" style="1" customWidth="1"/>
    <col min="18" max="18" width="30.83203125" style="1" customWidth="1"/>
    <col min="19" max="19" width="23.5" style="1" customWidth="1"/>
    <col min="20" max="20" width="1" style="1" customWidth="1"/>
    <col min="21" max="21" width="24.33203125" style="1" customWidth="1"/>
    <col min="22" max="22" width="10.6640625" style="1" customWidth="1"/>
    <col min="23" max="23" width="12.5" style="1" customWidth="1"/>
    <col min="24" max="24" width="13.6640625" style="1" customWidth="1"/>
    <col min="25" max="25" width="12.83203125" style="1" customWidth="1"/>
    <col min="26" max="16384" width="8.83203125" style="1"/>
  </cols>
  <sheetData>
    <row r="1" spans="1:53" ht="6" customHeight="1" thickBot="1">
      <c r="A1" s="54"/>
      <c r="B1" s="14"/>
      <c r="C1" s="14"/>
      <c r="D1" s="14"/>
      <c r="E1" s="14"/>
      <c r="F1" s="14"/>
      <c r="G1" s="14"/>
      <c r="H1" s="14"/>
      <c r="I1" s="14"/>
      <c r="J1" s="14"/>
      <c r="K1" s="14"/>
      <c r="L1" s="14"/>
      <c r="M1" s="14"/>
      <c r="N1" s="14"/>
      <c r="O1" s="14"/>
      <c r="P1" s="14"/>
      <c r="Q1" s="14"/>
      <c r="R1" s="25"/>
      <c r="S1" s="14"/>
      <c r="T1" s="14"/>
      <c r="U1" s="14"/>
      <c r="V1" s="14"/>
      <c r="W1" s="14"/>
      <c r="X1" s="14"/>
      <c r="Y1" s="14"/>
      <c r="Z1" s="14"/>
      <c r="AA1" s="14"/>
      <c r="AB1" s="14"/>
      <c r="AC1" s="14"/>
      <c r="AD1" s="14"/>
      <c r="AE1" s="14"/>
      <c r="AF1" s="14"/>
      <c r="AG1" s="14"/>
      <c r="AH1" s="14"/>
      <c r="AI1" s="14"/>
      <c r="AJ1" s="14"/>
      <c r="AK1" s="14"/>
      <c r="AL1" s="14"/>
      <c r="AM1" s="14"/>
      <c r="AN1" s="14"/>
      <c r="AO1" s="14"/>
      <c r="AP1" s="14"/>
    </row>
    <row r="2" spans="1:53" ht="10.25" customHeight="1">
      <c r="A2" s="14"/>
      <c r="B2" s="14"/>
      <c r="C2" s="222"/>
      <c r="D2" s="17"/>
      <c r="E2" s="17"/>
      <c r="F2" s="17"/>
      <c r="G2" s="17"/>
      <c r="H2" s="17"/>
      <c r="I2" s="17"/>
      <c r="J2" s="54"/>
      <c r="K2" s="54"/>
      <c r="L2" s="54"/>
      <c r="M2" s="54"/>
      <c r="N2" s="14"/>
      <c r="O2" s="14"/>
      <c r="P2" s="14"/>
      <c r="Q2" s="14"/>
      <c r="S2" s="302" t="s">
        <v>233</v>
      </c>
      <c r="T2" s="303"/>
      <c r="U2" s="195"/>
      <c r="V2" s="195"/>
      <c r="W2" s="195"/>
      <c r="X2" s="14"/>
      <c r="Y2" s="14"/>
      <c r="Z2" s="14"/>
      <c r="AA2" s="14"/>
      <c r="AB2" s="14"/>
      <c r="AC2" s="14"/>
      <c r="AD2" s="14"/>
      <c r="AE2" s="14"/>
      <c r="AF2" s="14"/>
      <c r="AG2" s="14"/>
      <c r="AH2" s="14"/>
      <c r="AI2" s="14"/>
      <c r="AJ2" s="14"/>
      <c r="AK2" s="14"/>
      <c r="AL2" s="14"/>
      <c r="AM2" s="14"/>
      <c r="AN2" s="14"/>
      <c r="AO2" s="14"/>
      <c r="AP2" s="14"/>
      <c r="AR2" t="s">
        <v>133</v>
      </c>
      <c r="AS2" t="s">
        <v>134</v>
      </c>
      <c r="AT2" t="s">
        <v>135</v>
      </c>
      <c r="AU2" t="s">
        <v>136</v>
      </c>
      <c r="AV2" t="s">
        <v>137</v>
      </c>
      <c r="AW2" t="s">
        <v>138</v>
      </c>
      <c r="AX2" t="s">
        <v>139</v>
      </c>
      <c r="AY2" t="s">
        <v>168</v>
      </c>
      <c r="AZ2" t="s">
        <v>141</v>
      </c>
    </row>
    <row r="3" spans="1:53" ht="10.25" customHeight="1" thickBot="1">
      <c r="A3" s="14"/>
      <c r="B3" s="222"/>
      <c r="C3" s="222"/>
      <c r="D3" s="17"/>
      <c r="E3" s="17"/>
      <c r="F3" s="17"/>
      <c r="G3" s="17"/>
      <c r="H3" s="17"/>
      <c r="I3" s="17"/>
      <c r="J3" s="54"/>
      <c r="K3" s="54"/>
      <c r="L3" s="54"/>
      <c r="M3" s="54"/>
      <c r="N3" s="14"/>
      <c r="O3" s="14"/>
      <c r="P3" s="14"/>
      <c r="Q3" s="14"/>
      <c r="R3" s="195"/>
      <c r="S3" s="304"/>
      <c r="T3" s="305"/>
      <c r="U3" s="195"/>
      <c r="V3" s="195"/>
      <c r="W3" s="195"/>
      <c r="X3" s="14"/>
      <c r="Y3" s="14"/>
      <c r="Z3" s="14"/>
      <c r="AA3" s="14"/>
      <c r="AB3" s="14"/>
      <c r="AC3" s="14"/>
      <c r="AD3" s="14"/>
      <c r="AE3" s="14"/>
      <c r="AF3" s="14"/>
      <c r="AG3" s="14"/>
      <c r="AH3" s="14"/>
      <c r="AI3" s="14"/>
      <c r="AJ3" s="14"/>
      <c r="AK3" s="14"/>
      <c r="AL3" s="14"/>
      <c r="AM3" s="14"/>
      <c r="AN3" s="14"/>
      <c r="AO3" s="14"/>
      <c r="AP3" s="14"/>
      <c r="AR3"/>
      <c r="AS3"/>
      <c r="AT3"/>
      <c r="AU3"/>
      <c r="AV3"/>
      <c r="AW3"/>
      <c r="AX3"/>
      <c r="AY3"/>
      <c r="AZ3"/>
    </row>
    <row r="4" spans="1:53" ht="40.75" customHeight="1">
      <c r="A4" s="14"/>
      <c r="B4" s="317" t="s">
        <v>295</v>
      </c>
      <c r="C4" s="317"/>
      <c r="D4" s="317"/>
      <c r="E4" s="224"/>
      <c r="F4" s="313" t="s">
        <v>232</v>
      </c>
      <c r="G4" s="314"/>
      <c r="H4" s="17"/>
      <c r="I4" s="14"/>
      <c r="J4" s="14"/>
      <c r="K4" s="14"/>
      <c r="L4" s="14"/>
      <c r="M4" s="14"/>
      <c r="N4" s="77"/>
      <c r="O4" s="77"/>
      <c r="P4" s="77"/>
      <c r="Q4" s="189"/>
      <c r="R4" s="212" t="s">
        <v>213</v>
      </c>
      <c r="S4" s="212" t="s">
        <v>30</v>
      </c>
      <c r="T4" s="298" t="s">
        <v>214</v>
      </c>
      <c r="U4" s="298"/>
      <c r="V4" s="298" t="s">
        <v>215</v>
      </c>
      <c r="W4" s="299"/>
      <c r="X4" s="14"/>
      <c r="Y4" s="14"/>
      <c r="Z4" s="14"/>
      <c r="AA4" s="14"/>
      <c r="AB4" s="14"/>
      <c r="AC4" s="14"/>
      <c r="AD4" s="14"/>
      <c r="AE4" s="14"/>
      <c r="AF4" s="14"/>
      <c r="AG4" s="14"/>
      <c r="AH4" s="14"/>
      <c r="AI4" s="14"/>
      <c r="AJ4" s="14"/>
      <c r="AK4" s="14"/>
      <c r="AL4" s="14"/>
      <c r="AM4" s="14"/>
      <c r="AN4" s="14"/>
      <c r="AO4" s="14"/>
      <c r="AP4" s="14"/>
      <c r="AR4">
        <v>0</v>
      </c>
      <c r="AS4" s="85">
        <f>Q36</f>
        <v>288</v>
      </c>
      <c r="AT4" s="85">
        <f>(1-$D$11)*AS4</f>
        <v>216</v>
      </c>
      <c r="AU4" s="85"/>
      <c r="AV4"/>
      <c r="AW4">
        <f>IF(ISNUMBER(AR5),SUM(AT4:AU4),SUM(AT4:AV4))</f>
        <v>216</v>
      </c>
      <c r="AX4" s="86">
        <f t="shared" ref="AX4:AX30" si="0">LN(AW4+$J$36)-LN($J$36)</f>
        <v>0.56272869303125006</v>
      </c>
      <c r="AY4">
        <f>IF(ISNUMBER(AR4),AX4/(1+$D$7)^AR4,0)</f>
        <v>0.56272869303125006</v>
      </c>
      <c r="AZ4"/>
    </row>
    <row r="5" spans="1:53" ht="10.75" customHeight="1" thickBot="1">
      <c r="A5" s="14"/>
      <c r="B5" s="318"/>
      <c r="C5" s="318"/>
      <c r="D5" s="318"/>
      <c r="E5" s="223"/>
      <c r="F5" s="315"/>
      <c r="G5" s="316"/>
      <c r="H5" s="27"/>
      <c r="I5" s="27"/>
      <c r="J5" s="14"/>
      <c r="K5" s="14"/>
      <c r="L5" s="14"/>
      <c r="M5" s="14"/>
      <c r="N5" s="14"/>
      <c r="O5" s="14"/>
      <c r="P5" s="14"/>
      <c r="Q5" s="206" t="s">
        <v>236</v>
      </c>
      <c r="R5" s="205">
        <f>D36/(1+D7)^10</f>
        <v>0.1553200531458121</v>
      </c>
      <c r="S5" s="205">
        <f>R5*(1-1/(1+D7)^G16)/(1-1/(1+D7))</f>
        <v>2.7984077146577926</v>
      </c>
      <c r="T5" s="300">
        <f>S5*G7*G9*G18*G8/G36</f>
        <v>8.3603881931685081E-2</v>
      </c>
      <c r="U5" s="300"/>
      <c r="V5" s="300">
        <f>G14*G11</f>
        <v>4.2676128094327722E-3</v>
      </c>
      <c r="W5" s="301"/>
      <c r="X5" s="14"/>
      <c r="Y5" s="14"/>
      <c r="Z5" s="14"/>
      <c r="AA5" s="14"/>
      <c r="AB5" s="14"/>
      <c r="AC5" s="14"/>
      <c r="AD5" s="14"/>
      <c r="AE5" s="14"/>
      <c r="AF5" s="14"/>
      <c r="AG5" s="14"/>
      <c r="AH5" s="14"/>
      <c r="AI5" s="14"/>
      <c r="AJ5" s="14"/>
      <c r="AK5" s="14"/>
      <c r="AL5" s="14"/>
      <c r="AM5" s="14"/>
      <c r="AN5" s="14"/>
      <c r="AO5" s="14"/>
      <c r="AP5" s="14"/>
      <c r="AR5">
        <f t="shared" ref="AR5:AR68" si="1">IF(AR4&lt;$D$14,AR4+1,"")</f>
        <v>1</v>
      </c>
      <c r="AS5" s="85">
        <f>AS4-AT4</f>
        <v>72</v>
      </c>
      <c r="AT5" s="85"/>
      <c r="AU5" s="85">
        <f t="shared" ref="AU5:AU70" si="2">$D$10*AS5</f>
        <v>7.2</v>
      </c>
      <c r="AV5" s="85">
        <f>AS5</f>
        <v>72</v>
      </c>
      <c r="AW5">
        <f t="shared" ref="AW5:AW14" si="3">IF(ISNUMBER(AR6),SUM(AT5:AU5),SUM(AT5:AV5))</f>
        <v>7.2</v>
      </c>
      <c r="AX5" s="86">
        <f t="shared" si="0"/>
        <v>2.4870030074646721E-2</v>
      </c>
      <c r="AY5">
        <f t="shared" ref="AY5:AY70" si="4">IF(ISNUMBER(AR5),AX5/(1+$D$7)^AR5,0)</f>
        <v>2.3685742928234971E-2</v>
      </c>
      <c r="AZ5">
        <f>SUM(AY5:AY113)</f>
        <v>0.3637949199423417</v>
      </c>
      <c r="BA5" s="1">
        <f>SUM(AY5:AY23)</f>
        <v>0.3637949199423417</v>
      </c>
    </row>
    <row r="6" spans="1:53" ht="14">
      <c r="A6" s="14"/>
      <c r="B6" s="10"/>
      <c r="C6" s="311" t="s">
        <v>12</v>
      </c>
      <c r="D6" s="311"/>
      <c r="E6" s="49"/>
      <c r="F6" s="23" t="s">
        <v>13</v>
      </c>
      <c r="G6" s="24"/>
      <c r="H6" s="50"/>
      <c r="I6" s="311" t="s">
        <v>40</v>
      </c>
      <c r="J6" s="311"/>
      <c r="K6" s="159"/>
      <c r="L6" s="312" t="s">
        <v>210</v>
      </c>
      <c r="M6" s="312"/>
      <c r="N6" s="11"/>
      <c r="O6" s="6"/>
      <c r="P6" s="14"/>
      <c r="Q6" s="206" t="s">
        <v>237</v>
      </c>
      <c r="R6" s="205">
        <f>(M15*M11)/(1+D7)^10</f>
        <v>2.2100877127467333E-2</v>
      </c>
      <c r="S6" s="205">
        <f>R6*(1-1/(1+D7)^G16)/(1-1/(1+D7))</f>
        <v>0.39819240208569384</v>
      </c>
      <c r="T6" s="300">
        <f>S6*M8*M9*M14*(W36/V36)</f>
        <v>6.4071812111602044E-3</v>
      </c>
      <c r="U6" s="300"/>
      <c r="V6" s="300">
        <v>0</v>
      </c>
      <c r="W6" s="301"/>
      <c r="X6" s="14"/>
      <c r="Y6" s="14"/>
      <c r="Z6" s="14"/>
      <c r="AA6" s="14"/>
      <c r="AB6" s="14"/>
      <c r="AC6" s="14"/>
      <c r="AD6" s="14"/>
      <c r="AE6" s="14"/>
      <c r="AF6" s="14"/>
      <c r="AG6" s="14"/>
      <c r="AH6" s="14"/>
      <c r="AI6" s="14"/>
      <c r="AJ6" s="14"/>
      <c r="AK6" s="14"/>
      <c r="AL6" s="14"/>
      <c r="AM6" s="14"/>
      <c r="AN6" s="14"/>
      <c r="AO6" s="14"/>
      <c r="AP6" s="14"/>
      <c r="AR6">
        <f t="shared" si="1"/>
        <v>2</v>
      </c>
      <c r="AS6" s="85">
        <f t="shared" ref="AS6:AS71" si="5">IF(ISNUMBER(AR6),AV5,0)</f>
        <v>72</v>
      </c>
      <c r="AT6" s="85"/>
      <c r="AU6" s="85">
        <f t="shared" si="2"/>
        <v>7.2</v>
      </c>
      <c r="AV6" s="85">
        <f t="shared" ref="AV6:AV71" si="6">AS6</f>
        <v>72</v>
      </c>
      <c r="AW6">
        <f t="shared" si="3"/>
        <v>7.2</v>
      </c>
      <c r="AX6" s="86">
        <f t="shared" si="0"/>
        <v>2.4870030074646721E-2</v>
      </c>
      <c r="AY6">
        <f t="shared" si="4"/>
        <v>2.255785040784283E-2</v>
      </c>
      <c r="AZ6"/>
    </row>
    <row r="7" spans="1:53" ht="20.5" customHeight="1">
      <c r="A7" s="14"/>
      <c r="B7" s="306" t="s">
        <v>47</v>
      </c>
      <c r="C7" s="139" t="s">
        <v>0</v>
      </c>
      <c r="D7" s="179">
        <v>0.05</v>
      </c>
      <c r="E7" s="2"/>
      <c r="F7" s="174" t="s">
        <v>4</v>
      </c>
      <c r="G7" s="175">
        <v>0.4</v>
      </c>
      <c r="H7" s="4"/>
      <c r="I7" s="174" t="s">
        <v>8</v>
      </c>
      <c r="J7" s="175">
        <v>0.46735630180938331</v>
      </c>
      <c r="K7" s="160"/>
      <c r="L7" s="174" t="s">
        <v>217</v>
      </c>
      <c r="M7" s="180">
        <v>7.4999999999999997E-2</v>
      </c>
      <c r="N7" s="12"/>
      <c r="O7" s="6"/>
      <c r="P7" s="14"/>
      <c r="Q7" s="15"/>
      <c r="R7" s="6"/>
      <c r="S7" s="6"/>
      <c r="T7" s="6"/>
      <c r="U7" s="164"/>
      <c r="V7" s="6"/>
      <c r="W7" s="12"/>
      <c r="X7" s="14"/>
      <c r="Y7" s="14"/>
      <c r="Z7" s="14"/>
      <c r="AA7" s="14"/>
      <c r="AB7" s="14"/>
      <c r="AC7" s="14"/>
      <c r="AD7" s="14"/>
      <c r="AE7" s="14"/>
      <c r="AF7" s="14"/>
      <c r="AG7" s="14"/>
      <c r="AH7" s="14"/>
      <c r="AI7" s="14"/>
      <c r="AJ7" s="14"/>
      <c r="AK7" s="14"/>
      <c r="AL7" s="14"/>
      <c r="AM7" s="14"/>
      <c r="AN7" s="14"/>
      <c r="AO7" s="14"/>
      <c r="AP7" s="14"/>
      <c r="AR7">
        <f t="shared" si="1"/>
        <v>3</v>
      </c>
      <c r="AS7" s="85">
        <f>IF(ISNUMBER(AR7),AV6,0)</f>
        <v>72</v>
      </c>
      <c r="AT7" s="85"/>
      <c r="AU7" s="85">
        <f t="shared" si="2"/>
        <v>7.2</v>
      </c>
      <c r="AV7" s="85">
        <f t="shared" si="6"/>
        <v>72</v>
      </c>
      <c r="AW7">
        <f t="shared" si="3"/>
        <v>7.2</v>
      </c>
      <c r="AX7" s="86">
        <f t="shared" si="0"/>
        <v>2.4870030074646721E-2</v>
      </c>
      <c r="AY7">
        <f t="shared" si="4"/>
        <v>2.1483667055088407E-2</v>
      </c>
      <c r="AZ7"/>
    </row>
    <row r="8" spans="1:53" ht="20.5" customHeight="1">
      <c r="A8" s="14"/>
      <c r="B8" s="306"/>
      <c r="C8" s="127"/>
      <c r="D8" s="127"/>
      <c r="E8" s="51"/>
      <c r="F8" s="178" t="s">
        <v>6</v>
      </c>
      <c r="G8" s="13">
        <v>0.6</v>
      </c>
      <c r="H8" s="5"/>
      <c r="I8" s="153" t="s">
        <v>9</v>
      </c>
      <c r="J8" s="154">
        <v>0.48634191903034624</v>
      </c>
      <c r="K8" s="161"/>
      <c r="L8" s="153" t="s">
        <v>211</v>
      </c>
      <c r="M8" s="154">
        <v>0.8</v>
      </c>
      <c r="N8" s="12"/>
      <c r="O8" s="6"/>
      <c r="P8" s="14"/>
      <c r="Q8" s="309" t="s">
        <v>238</v>
      </c>
      <c r="R8" s="6"/>
      <c r="S8" s="207" t="s">
        <v>31</v>
      </c>
      <c r="T8" s="319" t="s">
        <v>34</v>
      </c>
      <c r="U8" s="319"/>
      <c r="V8" s="97"/>
      <c r="W8" s="12"/>
      <c r="X8" s="14"/>
      <c r="Y8" s="14"/>
      <c r="Z8" s="14"/>
      <c r="AA8" s="14"/>
      <c r="AB8" s="14"/>
      <c r="AC8" s="14"/>
      <c r="AD8" s="14"/>
      <c r="AE8" s="14"/>
      <c r="AF8" s="14"/>
      <c r="AG8" s="14"/>
      <c r="AH8" s="14"/>
      <c r="AI8" s="14"/>
      <c r="AJ8" s="14"/>
      <c r="AK8" s="14"/>
      <c r="AL8" s="14"/>
      <c r="AM8" s="14"/>
      <c r="AN8" s="14"/>
      <c r="AO8" s="14"/>
      <c r="AP8" s="14"/>
      <c r="AR8">
        <f t="shared" si="1"/>
        <v>4</v>
      </c>
      <c r="AS8" s="85">
        <f t="shared" si="5"/>
        <v>72</v>
      </c>
      <c r="AT8" s="85"/>
      <c r="AU8" s="85">
        <f t="shared" si="2"/>
        <v>7.2</v>
      </c>
      <c r="AV8" s="85">
        <f t="shared" si="6"/>
        <v>72</v>
      </c>
      <c r="AW8">
        <f t="shared" si="3"/>
        <v>7.2</v>
      </c>
      <c r="AX8" s="86">
        <f t="shared" si="0"/>
        <v>2.4870030074646721E-2</v>
      </c>
      <c r="AY8">
        <f t="shared" si="4"/>
        <v>2.046063529056039E-2</v>
      </c>
      <c r="AZ8"/>
    </row>
    <row r="9" spans="1:53" ht="33">
      <c r="A9" s="14"/>
      <c r="B9" s="306"/>
      <c r="C9" s="307" t="s">
        <v>14</v>
      </c>
      <c r="D9" s="307"/>
      <c r="E9" s="2"/>
      <c r="F9" s="153" t="s">
        <v>177</v>
      </c>
      <c r="G9" s="154">
        <v>1</v>
      </c>
      <c r="H9" s="5"/>
      <c r="I9" s="153" t="s">
        <v>204</v>
      </c>
      <c r="J9" s="154">
        <v>3</v>
      </c>
      <c r="K9" s="161"/>
      <c r="L9" s="153" t="s">
        <v>212</v>
      </c>
      <c r="M9" s="154">
        <v>0.7</v>
      </c>
      <c r="N9" s="12"/>
      <c r="O9" s="6"/>
      <c r="P9" s="14"/>
      <c r="Q9" s="309"/>
      <c r="R9" s="21" t="s">
        <v>46</v>
      </c>
      <c r="S9" s="125">
        <f>($V$5+$T$5*J14)*J7*J11</f>
        <v>4.1067296816671518E-2</v>
      </c>
      <c r="T9" s="308">
        <f>J12*S9/(J16/J9)</f>
        <v>0.41067296816671522</v>
      </c>
      <c r="U9" s="308"/>
      <c r="V9" s="99"/>
      <c r="W9" s="12"/>
      <c r="X9" s="14"/>
      <c r="Y9" s="14"/>
      <c r="Z9" s="14"/>
      <c r="AA9" s="14"/>
      <c r="AB9" s="14"/>
      <c r="AC9" s="14"/>
      <c r="AD9" s="14"/>
      <c r="AE9" s="14"/>
      <c r="AF9" s="14"/>
      <c r="AG9" s="14"/>
      <c r="AH9" s="14"/>
      <c r="AI9" s="14"/>
      <c r="AJ9" s="14"/>
      <c r="AK9" s="14"/>
      <c r="AL9" s="14"/>
      <c r="AM9" s="14"/>
      <c r="AN9" s="14"/>
      <c r="AO9" s="14"/>
      <c r="AP9" s="14"/>
      <c r="AR9">
        <f t="shared" si="1"/>
        <v>5</v>
      </c>
      <c r="AS9" s="85">
        <f t="shared" si="5"/>
        <v>72</v>
      </c>
      <c r="AT9" s="85"/>
      <c r="AU9" s="85">
        <f t="shared" si="2"/>
        <v>7.2</v>
      </c>
      <c r="AV9" s="85">
        <f t="shared" si="6"/>
        <v>72</v>
      </c>
      <c r="AW9">
        <f>IF(ISNUMBER(AR10),SUM(AT9:AU9),SUM(AT9:AV9))</f>
        <v>7.2</v>
      </c>
      <c r="AX9" s="86">
        <f t="shared" si="0"/>
        <v>2.4870030074646721E-2</v>
      </c>
      <c r="AY9">
        <f t="shared" si="4"/>
        <v>1.9486319324343228E-2</v>
      </c>
      <c r="AZ9"/>
    </row>
    <row r="10" spans="1:53" ht="26.5" customHeight="1">
      <c r="A10" s="14"/>
      <c r="B10" s="306"/>
      <c r="C10" s="121" t="s">
        <v>3</v>
      </c>
      <c r="D10" s="122">
        <v>0.1</v>
      </c>
      <c r="E10" s="112"/>
      <c r="F10" s="126" t="s">
        <v>176</v>
      </c>
      <c r="G10" s="140">
        <v>0.1</v>
      </c>
      <c r="H10" s="113"/>
      <c r="I10" s="153" t="s">
        <v>205</v>
      </c>
      <c r="J10" s="154">
        <v>1.4084507042253522</v>
      </c>
      <c r="K10" s="161"/>
      <c r="L10" s="153" t="s">
        <v>227</v>
      </c>
      <c r="M10" s="154">
        <v>2</v>
      </c>
      <c r="N10" s="12"/>
      <c r="O10" s="6"/>
      <c r="P10" s="14"/>
      <c r="Q10" s="309"/>
      <c r="R10" s="21" t="s">
        <v>45</v>
      </c>
      <c r="S10" s="210">
        <f>($V$5+$T$5*J15)*J8*J18</f>
        <v>3.8669584142756015E-2</v>
      </c>
      <c r="T10" s="308">
        <f>S10/(J17/J10)</f>
        <v>6.6419759778007584E-2</v>
      </c>
      <c r="U10" s="308"/>
      <c r="V10" s="99"/>
      <c r="W10" s="12"/>
      <c r="X10" s="14"/>
      <c r="Y10" s="14"/>
      <c r="Z10" s="14"/>
      <c r="AA10" s="14"/>
      <c r="AB10" s="14"/>
      <c r="AC10" s="14"/>
      <c r="AD10" s="14"/>
      <c r="AE10" s="14"/>
      <c r="AF10" s="14"/>
      <c r="AG10" s="14"/>
      <c r="AH10" s="14"/>
      <c r="AI10" s="14"/>
      <c r="AJ10" s="14"/>
      <c r="AK10" s="14"/>
      <c r="AL10" s="14"/>
      <c r="AM10" s="14"/>
      <c r="AN10" s="14"/>
      <c r="AO10" s="14"/>
      <c r="AP10" s="14"/>
      <c r="AR10">
        <f t="shared" si="1"/>
        <v>6</v>
      </c>
      <c r="AS10" s="85">
        <f>IF(ISNUMBER(AR10),AV9,0)</f>
        <v>72</v>
      </c>
      <c r="AT10" s="85"/>
      <c r="AU10" s="85">
        <f t="shared" si="2"/>
        <v>7.2</v>
      </c>
      <c r="AV10" s="85">
        <f t="shared" si="6"/>
        <v>72</v>
      </c>
      <c r="AW10">
        <f>IF(ISNUMBER(AR11),SUM(AT10:AU10),SUM(AT10:AV10))</f>
        <v>7.2</v>
      </c>
      <c r="AX10" s="86">
        <f t="shared" si="0"/>
        <v>2.4870030074646721E-2</v>
      </c>
      <c r="AY10">
        <f t="shared" si="4"/>
        <v>1.8558399356517361E-2</v>
      </c>
      <c r="AZ10"/>
    </row>
    <row r="11" spans="1:53" ht="33" customHeight="1">
      <c r="A11" s="14"/>
      <c r="B11" s="306"/>
      <c r="C11" s="134" t="s">
        <v>5</v>
      </c>
      <c r="D11" s="135">
        <v>0.25</v>
      </c>
      <c r="E11" s="3"/>
      <c r="F11" s="153" t="s">
        <v>186</v>
      </c>
      <c r="G11" s="136">
        <v>2</v>
      </c>
      <c r="H11" s="6"/>
      <c r="I11" s="153" t="s">
        <v>107</v>
      </c>
      <c r="J11" s="154">
        <v>1</v>
      </c>
      <c r="K11" s="161"/>
      <c r="L11" s="153" t="s">
        <v>226</v>
      </c>
      <c r="M11" s="154">
        <v>1</v>
      </c>
      <c r="N11" s="12"/>
      <c r="O11" s="14"/>
      <c r="P11" s="14"/>
      <c r="Q11" s="309"/>
      <c r="R11" s="21" t="s">
        <v>216</v>
      </c>
      <c r="S11" s="210">
        <f>T6*M12</f>
        <v>4.2287395993657355E-3</v>
      </c>
      <c r="T11" s="310">
        <f>M13*S11/(M7/M10)</f>
        <v>8.4574791987314712E-2</v>
      </c>
      <c r="U11" s="308"/>
      <c r="V11" s="99"/>
      <c r="W11" s="12"/>
      <c r="X11" s="14"/>
      <c r="Y11" s="14"/>
      <c r="Z11" s="14"/>
      <c r="AA11" s="14"/>
      <c r="AB11" s="14"/>
      <c r="AC11" s="14"/>
      <c r="AD11" s="14"/>
      <c r="AE11" s="14"/>
      <c r="AF11" s="14"/>
      <c r="AG11" s="14"/>
      <c r="AH11" s="14"/>
      <c r="AI11" s="14"/>
      <c r="AJ11" s="14"/>
      <c r="AK11" s="14"/>
      <c r="AL11" s="14"/>
      <c r="AM11" s="14"/>
      <c r="AN11" s="14"/>
      <c r="AO11" s="14"/>
      <c r="AP11" s="14"/>
      <c r="AR11">
        <f t="shared" si="1"/>
        <v>7</v>
      </c>
      <c r="AS11" s="85">
        <f>IF(ISNUMBER(AR11),AV10,0)</f>
        <v>72</v>
      </c>
      <c r="AT11" s="85"/>
      <c r="AU11" s="85">
        <f t="shared" si="2"/>
        <v>7.2</v>
      </c>
      <c r="AV11" s="85">
        <f t="shared" si="6"/>
        <v>72</v>
      </c>
      <c r="AW11">
        <f>IF(ISNUMBER(AR12),SUM(AT11:AU11),SUM(AT11:AV11))</f>
        <v>7.2</v>
      </c>
      <c r="AX11" s="86">
        <f t="shared" si="0"/>
        <v>2.4870030074646721E-2</v>
      </c>
      <c r="AY11">
        <f t="shared" si="4"/>
        <v>1.7674666053826057E-2</v>
      </c>
      <c r="AZ11"/>
    </row>
    <row r="12" spans="1:53" ht="21.5" customHeight="1">
      <c r="A12" s="14"/>
      <c r="B12" s="15"/>
      <c r="C12" s="9"/>
      <c r="D12" s="8"/>
      <c r="E12" s="2"/>
      <c r="F12" s="52"/>
      <c r="G12" s="53"/>
      <c r="H12" s="9"/>
      <c r="I12" s="153" t="s">
        <v>330</v>
      </c>
      <c r="J12" s="154">
        <v>1</v>
      </c>
      <c r="K12" s="6"/>
      <c r="L12" s="153" t="s">
        <v>219</v>
      </c>
      <c r="M12" s="154">
        <v>0.66</v>
      </c>
      <c r="N12" s="12"/>
      <c r="O12" s="6"/>
      <c r="P12" s="14"/>
      <c r="Q12" s="123"/>
      <c r="R12" s="21"/>
      <c r="S12" s="124"/>
      <c r="T12" s="99"/>
      <c r="U12" s="99"/>
      <c r="V12" s="99"/>
      <c r="W12" s="12"/>
      <c r="X12" s="14"/>
      <c r="Y12" s="14"/>
      <c r="Z12" s="14"/>
      <c r="AA12" s="14"/>
      <c r="AB12" s="14"/>
      <c r="AC12" s="14"/>
      <c r="AD12" s="14"/>
      <c r="AE12" s="14"/>
      <c r="AF12" s="14"/>
      <c r="AG12" s="14"/>
      <c r="AH12" s="14"/>
      <c r="AI12" s="14"/>
      <c r="AJ12" s="14"/>
      <c r="AK12" s="14"/>
      <c r="AL12" s="14"/>
      <c r="AM12" s="14"/>
      <c r="AN12" s="14"/>
      <c r="AO12" s="14"/>
      <c r="AP12" s="14"/>
      <c r="AR12">
        <f t="shared" si="1"/>
        <v>8</v>
      </c>
      <c r="AS12" s="85">
        <f>IF(ISNUMBER(AR12),AV11,0)</f>
        <v>72</v>
      </c>
      <c r="AT12" s="85"/>
      <c r="AU12" s="85">
        <f t="shared" si="2"/>
        <v>7.2</v>
      </c>
      <c r="AV12" s="85">
        <f t="shared" si="6"/>
        <v>72</v>
      </c>
      <c r="AW12">
        <f>IF(ISNUMBER(AR13),SUM(AT12:AU12),SUM(AT12:AV12))</f>
        <v>7.2</v>
      </c>
      <c r="AX12" s="86">
        <f t="shared" si="0"/>
        <v>2.4870030074646721E-2</v>
      </c>
      <c r="AY12">
        <f t="shared" si="4"/>
        <v>1.6833015289358148E-2</v>
      </c>
      <c r="AZ12"/>
    </row>
    <row r="13" spans="1:53" ht="24" customHeight="1">
      <c r="A13" s="14"/>
      <c r="B13" s="15"/>
      <c r="C13" s="9"/>
      <c r="D13" s="8"/>
      <c r="E13" s="2"/>
      <c r="F13" s="52"/>
      <c r="G13" s="53"/>
      <c r="H13" s="6"/>
      <c r="I13" s="9"/>
      <c r="J13" s="8"/>
      <c r="K13" s="6"/>
      <c r="L13" s="153" t="s">
        <v>218</v>
      </c>
      <c r="M13" s="154">
        <v>0.75</v>
      </c>
      <c r="N13" s="12"/>
      <c r="O13" s="6"/>
      <c r="P13" s="14"/>
      <c r="Q13" s="309" t="s">
        <v>239</v>
      </c>
      <c r="R13" s="48"/>
      <c r="S13" s="207" t="s">
        <v>173</v>
      </c>
      <c r="T13" s="319" t="s">
        <v>174</v>
      </c>
      <c r="U13" s="319"/>
      <c r="V13" s="207" t="s">
        <v>175</v>
      </c>
      <c r="W13" s="209" t="s">
        <v>184</v>
      </c>
      <c r="X13" s="14"/>
      <c r="Y13" s="14"/>
      <c r="Z13" s="14"/>
      <c r="AA13" s="14"/>
      <c r="AB13" s="14"/>
      <c r="AC13" s="14"/>
      <c r="AD13" s="14"/>
      <c r="AE13" s="14"/>
      <c r="AF13" s="14"/>
      <c r="AG13" s="14"/>
      <c r="AH13" s="14"/>
      <c r="AI13" s="14"/>
      <c r="AJ13" s="14"/>
      <c r="AK13" s="14"/>
      <c r="AL13" s="14"/>
      <c r="AM13" s="14"/>
      <c r="AN13" s="14"/>
      <c r="AO13" s="14"/>
      <c r="AP13" s="14"/>
      <c r="AR13">
        <f t="shared" si="1"/>
        <v>9</v>
      </c>
      <c r="AS13" s="85">
        <f>IF(ISNUMBER(AR13),AV12,0)</f>
        <v>72</v>
      </c>
      <c r="AT13" s="85"/>
      <c r="AU13" s="85">
        <f t="shared" si="2"/>
        <v>7.2</v>
      </c>
      <c r="AV13" s="85">
        <f t="shared" si="6"/>
        <v>72</v>
      </c>
      <c r="AW13">
        <f t="shared" si="3"/>
        <v>7.2</v>
      </c>
      <c r="AX13" s="86">
        <f t="shared" si="0"/>
        <v>2.4870030074646721E-2</v>
      </c>
      <c r="AY13">
        <f t="shared" si="4"/>
        <v>1.6031443132722048E-2</v>
      </c>
      <c r="AZ13"/>
    </row>
    <row r="14" spans="1:53" ht="21" customHeight="1">
      <c r="A14" s="14"/>
      <c r="B14" s="357" t="s">
        <v>296</v>
      </c>
      <c r="C14" s="358" t="s">
        <v>1</v>
      </c>
      <c r="D14" s="359">
        <v>15</v>
      </c>
      <c r="E14" s="3"/>
      <c r="F14" s="358" t="s">
        <v>2</v>
      </c>
      <c r="G14" s="359">
        <v>2.1338064047163861E-3</v>
      </c>
      <c r="H14" s="6"/>
      <c r="I14" s="128" t="s">
        <v>11</v>
      </c>
      <c r="J14" s="129">
        <v>1</v>
      </c>
      <c r="K14" s="162"/>
      <c r="L14" s="153" t="s">
        <v>220</v>
      </c>
      <c r="M14" s="154">
        <v>1</v>
      </c>
      <c r="N14" s="12"/>
      <c r="O14" s="6"/>
      <c r="P14" s="14"/>
      <c r="Q14" s="309"/>
      <c r="R14" s="21" t="s">
        <v>46</v>
      </c>
      <c r="S14" s="210">
        <f>(1000/(J16/J9))*J14*J12*J11*G9*G10*G7*J7*G8*G18*(1/G36)</f>
        <v>13.96251192127618</v>
      </c>
      <c r="T14" s="325">
        <f>(((1000/(J16/J9))*G14)/U36)*J7*J11</f>
        <v>0.2730315866079196</v>
      </c>
      <c r="U14" s="325"/>
      <c r="V14" s="210">
        <f>S14+T14</f>
        <v>14.235543507884099</v>
      </c>
      <c r="W14" s="192">
        <f>1000/V14</f>
        <v>70.246703221845237</v>
      </c>
      <c r="X14" s="14"/>
      <c r="Y14" s="14"/>
      <c r="Z14" s="14"/>
      <c r="AA14" s="14"/>
      <c r="AB14" s="14"/>
      <c r="AC14" s="14"/>
      <c r="AD14" s="14"/>
      <c r="AE14" s="14"/>
      <c r="AF14" s="14"/>
      <c r="AG14" s="14"/>
      <c r="AH14" s="14"/>
      <c r="AI14" s="14"/>
      <c r="AJ14" s="14"/>
      <c r="AK14" s="14"/>
      <c r="AL14" s="14"/>
      <c r="AM14" s="14"/>
      <c r="AN14" s="14"/>
      <c r="AO14" s="14"/>
      <c r="AP14" s="14"/>
      <c r="AR14">
        <f t="shared" si="1"/>
        <v>10</v>
      </c>
      <c r="AS14" s="85">
        <f t="shared" si="5"/>
        <v>72</v>
      </c>
      <c r="AT14" s="85"/>
      <c r="AU14" s="85">
        <f t="shared" si="2"/>
        <v>7.2</v>
      </c>
      <c r="AV14" s="85">
        <f t="shared" si="6"/>
        <v>72</v>
      </c>
      <c r="AW14">
        <f t="shared" si="3"/>
        <v>7.2</v>
      </c>
      <c r="AX14" s="86">
        <f t="shared" si="0"/>
        <v>2.4870030074646721E-2</v>
      </c>
      <c r="AY14">
        <f t="shared" si="4"/>
        <v>1.5268041078782902E-2</v>
      </c>
      <c r="AZ14"/>
    </row>
    <row r="15" spans="1:53" ht="21" customHeight="1">
      <c r="A15" s="14"/>
      <c r="B15" s="357"/>
      <c r="C15" s="354"/>
      <c r="D15" s="363"/>
      <c r="E15" s="3"/>
      <c r="F15" s="354"/>
      <c r="G15" s="363"/>
      <c r="H15" s="6"/>
      <c r="I15" s="137" t="s">
        <v>10</v>
      </c>
      <c r="J15" s="138">
        <v>0.9</v>
      </c>
      <c r="K15" s="162"/>
      <c r="L15" s="176" t="s">
        <v>224</v>
      </c>
      <c r="M15" s="177">
        <v>3.5999999999999997E-2</v>
      </c>
      <c r="N15" s="12"/>
      <c r="O15" s="6"/>
      <c r="P15" s="14"/>
      <c r="Q15" s="309"/>
      <c r="R15" s="21" t="s">
        <v>45</v>
      </c>
      <c r="S15" s="191">
        <f>(1000/(J17/J10))*J15*J8*G10*G7*G8*J18*G9*G18*(1/G36)</f>
        <v>2.2460916136650391</v>
      </c>
      <c r="T15" s="326">
        <f>(((1000/(J17/J10))*G14)/U36)*J18*J8</f>
        <v>4.8801626049602073E-2</v>
      </c>
      <c r="U15" s="326"/>
      <c r="V15" s="210">
        <f>S15+T15</f>
        <v>2.2948932397146411</v>
      </c>
      <c r="W15" s="192">
        <f>1000/V15</f>
        <v>435.75011799866786</v>
      </c>
      <c r="X15" s="14"/>
      <c r="Y15" s="14"/>
      <c r="Z15" s="14"/>
      <c r="AA15" s="14"/>
      <c r="AB15" s="14"/>
      <c r="AC15" s="14"/>
      <c r="AD15" s="14"/>
      <c r="AE15" s="14"/>
      <c r="AF15" s="14"/>
      <c r="AG15" s="14"/>
      <c r="AH15" s="14"/>
      <c r="AI15" s="14"/>
      <c r="AJ15" s="14"/>
      <c r="AK15" s="14"/>
      <c r="AL15" s="14"/>
      <c r="AM15" s="14"/>
      <c r="AN15" s="14"/>
      <c r="AO15" s="14"/>
      <c r="AP15" s="14"/>
      <c r="AR15">
        <f t="shared" si="1"/>
        <v>11</v>
      </c>
      <c r="AS15" s="85">
        <f t="shared" si="5"/>
        <v>72</v>
      </c>
      <c r="AT15" s="85"/>
      <c r="AU15" s="85">
        <f t="shared" si="2"/>
        <v>7.2</v>
      </c>
      <c r="AV15" s="85">
        <f t="shared" si="6"/>
        <v>72</v>
      </c>
      <c r="AW15">
        <f>IF(ISNUMBER(AR16),SUM(AT15:AU15),SUM(AT15:AV15))</f>
        <v>7.2</v>
      </c>
      <c r="AX15" s="86">
        <f t="shared" si="0"/>
        <v>2.4870030074646721E-2</v>
      </c>
      <c r="AY15">
        <f t="shared" si="4"/>
        <v>1.4540991503602762E-2</v>
      </c>
      <c r="AZ15"/>
    </row>
    <row r="16" spans="1:53" ht="21" customHeight="1">
      <c r="A16" s="14"/>
      <c r="B16" s="357"/>
      <c r="C16" s="353" t="s">
        <v>19</v>
      </c>
      <c r="D16" s="360">
        <v>0.80400000000000005</v>
      </c>
      <c r="E16" s="3"/>
      <c r="F16" s="353" t="s">
        <v>303</v>
      </c>
      <c r="G16" s="355">
        <v>40</v>
      </c>
      <c r="H16" s="6"/>
      <c r="I16" s="132" t="s">
        <v>28</v>
      </c>
      <c r="J16" s="130">
        <v>0.3</v>
      </c>
      <c r="K16" s="163"/>
      <c r="L16" s="6"/>
      <c r="M16" s="6"/>
      <c r="N16" s="12"/>
      <c r="O16" s="6"/>
      <c r="P16" s="14"/>
      <c r="Q16" s="309"/>
      <c r="R16" s="21" t="s">
        <v>210</v>
      </c>
      <c r="S16" s="367">
        <f>(1000/(M7/M10))*M9*M8*(1/V36)*W36*M12*M14*M11*(M15/D36)*M13*G10</f>
        <v>3.0222469565217396</v>
      </c>
      <c r="T16" s="367"/>
      <c r="U16" s="211">
        <v>0</v>
      </c>
      <c r="V16" s="210">
        <f>S16+U16</f>
        <v>3.0222469565217396</v>
      </c>
      <c r="W16" s="192">
        <f>1000/V16</f>
        <v>330.87964497477253</v>
      </c>
      <c r="X16" s="14"/>
      <c r="Y16" s="14"/>
      <c r="Z16" s="14"/>
      <c r="AA16" s="14"/>
      <c r="AB16" s="14"/>
      <c r="AC16" s="14"/>
      <c r="AD16" s="14"/>
      <c r="AE16" s="14"/>
      <c r="AF16" s="14"/>
      <c r="AG16" s="14"/>
      <c r="AH16" s="14"/>
      <c r="AI16" s="14"/>
      <c r="AJ16" s="14"/>
      <c r="AK16" s="14"/>
      <c r="AL16" s="14"/>
      <c r="AM16" s="14"/>
      <c r="AN16" s="14"/>
      <c r="AO16" s="14"/>
      <c r="AP16" s="14"/>
      <c r="AR16">
        <f t="shared" si="1"/>
        <v>12</v>
      </c>
      <c r="AS16" s="85">
        <f t="shared" si="5"/>
        <v>72</v>
      </c>
      <c r="AT16" s="85"/>
      <c r="AU16" s="85">
        <f t="shared" si="2"/>
        <v>7.2</v>
      </c>
      <c r="AV16" s="85">
        <f t="shared" si="6"/>
        <v>72</v>
      </c>
      <c r="AW16">
        <f t="shared" ref="AW16:AW80" si="7">IF(ISNUMBER(AR17),SUM(AT16:AU16),SUM(AT16:AV16))</f>
        <v>7.2</v>
      </c>
      <c r="AX16" s="86">
        <f t="shared" si="0"/>
        <v>2.4870030074646721E-2</v>
      </c>
      <c r="AY16">
        <f t="shared" si="4"/>
        <v>1.3848563336764538E-2</v>
      </c>
      <c r="AZ16"/>
    </row>
    <row r="17" spans="1:53" ht="31.75" customHeight="1">
      <c r="A17" s="14"/>
      <c r="B17" s="357"/>
      <c r="C17" s="362"/>
      <c r="D17" s="361"/>
      <c r="E17" s="3"/>
      <c r="F17" s="354"/>
      <c r="G17" s="356"/>
      <c r="H17" s="6"/>
      <c r="I17" s="133" t="s">
        <v>7</v>
      </c>
      <c r="J17" s="131">
        <v>0.82</v>
      </c>
      <c r="K17" s="163"/>
      <c r="L17" s="14"/>
      <c r="M17" s="14"/>
      <c r="N17" s="12"/>
      <c r="O17" s="6"/>
      <c r="P17" s="14"/>
      <c r="Q17" s="15"/>
      <c r="R17" s="6"/>
      <c r="S17" s="6"/>
      <c r="T17" s="6"/>
      <c r="U17" s="6"/>
      <c r="V17" s="6"/>
      <c r="W17" s="12"/>
      <c r="X17" s="14"/>
      <c r="Y17" s="14"/>
      <c r="Z17" s="14"/>
      <c r="AA17" s="14"/>
      <c r="AB17" s="14"/>
      <c r="AC17" s="14"/>
      <c r="AD17" s="14"/>
      <c r="AE17" s="14"/>
      <c r="AF17" s="14"/>
      <c r="AG17" s="14"/>
      <c r="AH17" s="14"/>
      <c r="AI17" s="14"/>
      <c r="AJ17" s="14"/>
      <c r="AK17" s="14"/>
      <c r="AL17" s="14"/>
      <c r="AM17" s="14"/>
      <c r="AN17" s="14"/>
      <c r="AO17" s="14"/>
      <c r="AP17" s="14"/>
      <c r="AR17">
        <f>IF(AR16&lt;$D$14,AR16+1,"")</f>
        <v>13</v>
      </c>
      <c r="AS17" s="85">
        <f>IF(ISNUMBER(AR17),AV16,0)</f>
        <v>72</v>
      </c>
      <c r="AT17" s="85"/>
      <c r="AU17" s="85">
        <f t="shared" si="2"/>
        <v>7.2</v>
      </c>
      <c r="AV17" s="85">
        <f t="shared" si="6"/>
        <v>72</v>
      </c>
      <c r="AW17">
        <f>IF(ISNUMBER(AR18),SUM(AT17:AU17),SUM(AT17:AV17))</f>
        <v>7.2</v>
      </c>
      <c r="AX17" s="86">
        <f t="shared" si="0"/>
        <v>2.4870030074646721E-2</v>
      </c>
      <c r="AY17">
        <f t="shared" si="4"/>
        <v>1.3189107939775747E-2</v>
      </c>
      <c r="AZ17"/>
    </row>
    <row r="18" spans="1:53" ht="30.5" customHeight="1">
      <c r="A18" s="14"/>
      <c r="B18" s="357"/>
      <c r="C18" s="6"/>
      <c r="D18" s="6"/>
      <c r="E18" s="3"/>
      <c r="F18" s="150" t="s">
        <v>254</v>
      </c>
      <c r="G18" s="147">
        <v>0.3</v>
      </c>
      <c r="H18" s="6"/>
      <c r="I18" s="146" t="s">
        <v>131</v>
      </c>
      <c r="J18" s="145">
        <v>1</v>
      </c>
      <c r="K18" s="162"/>
      <c r="L18" s="14"/>
      <c r="M18" s="14"/>
      <c r="N18" s="12"/>
      <c r="O18" s="6"/>
      <c r="P18" s="6"/>
      <c r="Q18" s="309" t="s">
        <v>240</v>
      </c>
      <c r="R18" s="207" t="s">
        <v>179</v>
      </c>
      <c r="S18" s="207" t="s">
        <v>35</v>
      </c>
      <c r="T18" s="319" t="s">
        <v>36</v>
      </c>
      <c r="U18" s="319"/>
      <c r="V18" s="319" t="s">
        <v>34</v>
      </c>
      <c r="W18" s="324"/>
      <c r="X18" s="14"/>
      <c r="Y18" s="14"/>
      <c r="Z18" s="14"/>
      <c r="AA18" s="14"/>
      <c r="AB18" s="14"/>
      <c r="AC18" s="14"/>
      <c r="AD18" s="14"/>
      <c r="AE18" s="14"/>
      <c r="AF18" s="14"/>
      <c r="AG18" s="14"/>
      <c r="AH18" s="14"/>
      <c r="AI18" s="14"/>
      <c r="AJ18" s="14"/>
      <c r="AK18" s="14"/>
      <c r="AL18" s="14"/>
      <c r="AM18" s="14"/>
      <c r="AN18" s="14"/>
      <c r="AO18" s="14"/>
      <c r="AP18" s="14"/>
      <c r="AR18">
        <f>IF(AR17&lt;$D$14,AR17+1,"")</f>
        <v>14</v>
      </c>
      <c r="AS18" s="85">
        <f>IF(ISNUMBER(AR18),AV17,0)</f>
        <v>72</v>
      </c>
      <c r="AT18" s="85"/>
      <c r="AU18" s="85">
        <f t="shared" si="2"/>
        <v>7.2</v>
      </c>
      <c r="AV18" s="85">
        <f t="shared" si="6"/>
        <v>72</v>
      </c>
      <c r="AW18">
        <f>IF(ISNUMBER(AR19),SUM(AT18:AU18),SUM(AT18:AV18))</f>
        <v>7.2</v>
      </c>
      <c r="AX18" s="86">
        <f t="shared" si="0"/>
        <v>2.4870030074646721E-2</v>
      </c>
      <c r="AY18">
        <f t="shared" si="4"/>
        <v>1.2561055180738811E-2</v>
      </c>
      <c r="AZ18"/>
    </row>
    <row r="19" spans="1:53" ht="10.25" customHeight="1" thickBot="1">
      <c r="A19" s="14"/>
      <c r="B19" s="141"/>
      <c r="C19" s="7"/>
      <c r="D19" s="7"/>
      <c r="E19" s="7"/>
      <c r="F19" s="142"/>
      <c r="G19" s="143"/>
      <c r="H19" s="7"/>
      <c r="I19" s="7"/>
      <c r="J19" s="7"/>
      <c r="K19" s="7"/>
      <c r="L19" s="172"/>
      <c r="M19" s="7"/>
      <c r="N19" s="144"/>
      <c r="O19" s="6"/>
      <c r="P19" s="14"/>
      <c r="Q19" s="321"/>
      <c r="R19" s="208">
        <f>AZ5</f>
        <v>0.3637949199423417</v>
      </c>
      <c r="S19" s="208">
        <f>AY4</f>
        <v>0.56272869303125006</v>
      </c>
      <c r="T19" s="320">
        <f>R19+S19</f>
        <v>0.92652361297359176</v>
      </c>
      <c r="U19" s="320"/>
      <c r="V19" s="322">
        <f>T19/('Optimistic deworming, iodine'!Q36/'Optimistic deworming, iodine'!D16)</f>
        <v>2.5865450862179438E-3</v>
      </c>
      <c r="W19" s="323"/>
      <c r="X19" s="14"/>
      <c r="Y19" s="14"/>
      <c r="Z19" s="14"/>
      <c r="AA19" s="14"/>
      <c r="AB19" s="14"/>
      <c r="AC19" s="14"/>
      <c r="AD19" s="14"/>
      <c r="AE19" s="14"/>
      <c r="AF19" s="14"/>
      <c r="AG19" s="14"/>
      <c r="AH19" s="14"/>
      <c r="AI19" s="14"/>
      <c r="AJ19" s="14"/>
      <c r="AK19" s="14"/>
      <c r="AL19" s="14"/>
      <c r="AM19" s="14"/>
      <c r="AN19" s="14"/>
      <c r="AO19" s="14"/>
      <c r="AP19" s="14"/>
      <c r="AR19">
        <f>IF(AR18&lt;$D$14,AR18+1,"")</f>
        <v>15</v>
      </c>
      <c r="AS19" s="85">
        <f>IF(ISNUMBER(AR19),AV18,0)</f>
        <v>72</v>
      </c>
      <c r="AT19" s="85"/>
      <c r="AU19" s="85">
        <f t="shared" si="2"/>
        <v>7.2</v>
      </c>
      <c r="AV19" s="85">
        <f t="shared" si="6"/>
        <v>72</v>
      </c>
      <c r="AW19">
        <f t="shared" si="7"/>
        <v>79.2</v>
      </c>
      <c r="AX19" s="86">
        <f t="shared" si="0"/>
        <v>0.24451401526259264</v>
      </c>
      <c r="AY19">
        <f t="shared" si="4"/>
        <v>0.1176154220641835</v>
      </c>
      <c r="AZ19"/>
    </row>
    <row r="20" spans="1:53" ht="9.5" customHeight="1" thickBot="1">
      <c r="A20" s="14"/>
      <c r="B20" s="14"/>
      <c r="C20" s="14"/>
      <c r="D20" s="14"/>
      <c r="E20" s="14"/>
      <c r="F20" s="14"/>
      <c r="G20" s="14"/>
      <c r="H20" s="14"/>
      <c r="I20" s="14"/>
      <c r="J20" s="14"/>
      <c r="K20" s="14"/>
      <c r="L20" s="14"/>
      <c r="M20" s="14"/>
      <c r="N20" s="14"/>
      <c r="O20" s="14"/>
      <c r="P20" s="14"/>
      <c r="Q20" s="6"/>
      <c r="R20" s="6"/>
      <c r="S20" s="6"/>
      <c r="T20" s="6"/>
      <c r="U20" s="6"/>
      <c r="V20" s="6"/>
      <c r="W20" s="6"/>
      <c r="X20" s="14"/>
      <c r="Y20" s="14"/>
      <c r="Z20" s="14"/>
      <c r="AA20" s="14"/>
      <c r="AB20" s="14"/>
      <c r="AC20" s="14"/>
      <c r="AD20" s="14"/>
      <c r="AE20" s="14"/>
      <c r="AF20" s="14"/>
      <c r="AG20" s="14"/>
      <c r="AH20" s="14"/>
      <c r="AI20" s="14"/>
      <c r="AJ20" s="14"/>
      <c r="AK20" s="14"/>
      <c r="AL20" s="14"/>
      <c r="AM20" s="14"/>
      <c r="AN20" s="14"/>
      <c r="AO20" s="14"/>
      <c r="AP20" s="14"/>
      <c r="AR20" t="str">
        <f t="shared" si="1"/>
        <v/>
      </c>
      <c r="AS20" s="85">
        <f t="shared" si="5"/>
        <v>0</v>
      </c>
      <c r="AT20" s="85"/>
      <c r="AU20" s="85">
        <f t="shared" si="2"/>
        <v>0</v>
      </c>
      <c r="AV20" s="85">
        <f t="shared" si="6"/>
        <v>0</v>
      </c>
      <c r="AW20">
        <f t="shared" si="7"/>
        <v>0</v>
      </c>
      <c r="AX20" s="86">
        <f t="shared" si="0"/>
        <v>0</v>
      </c>
      <c r="AY20">
        <f t="shared" si="4"/>
        <v>0</v>
      </c>
      <c r="AZ20"/>
    </row>
    <row r="21" spans="1:53" ht="10.25" customHeight="1">
      <c r="A21" s="14"/>
      <c r="B21" s="14"/>
      <c r="C21" s="14"/>
      <c r="D21" s="14"/>
      <c r="E21" s="6"/>
      <c r="F21" s="384" t="s">
        <v>34</v>
      </c>
      <c r="G21" s="28" t="s">
        <v>33</v>
      </c>
      <c r="H21" s="29"/>
      <c r="I21" s="30">
        <f>T9</f>
        <v>0.41067296816671522</v>
      </c>
      <c r="J21" s="31"/>
      <c r="K21" s="31"/>
      <c r="L21" s="31"/>
      <c r="M21" s="31"/>
      <c r="N21" s="32"/>
      <c r="O21" s="36"/>
      <c r="P21" s="6"/>
      <c r="Q21" s="181"/>
      <c r="R21" s="381" t="s">
        <v>301</v>
      </c>
      <c r="S21" s="382"/>
      <c r="T21" s="96"/>
      <c r="U21" s="377" t="s">
        <v>37</v>
      </c>
      <c r="V21" s="377"/>
      <c r="W21" s="378"/>
      <c r="X21" s="14"/>
      <c r="Y21" s="14"/>
      <c r="Z21" s="14"/>
      <c r="AA21" s="14"/>
      <c r="AB21" s="14"/>
      <c r="AC21" s="14"/>
      <c r="AD21" s="14"/>
      <c r="AE21" s="14"/>
      <c r="AF21" s="14"/>
      <c r="AG21" s="14"/>
      <c r="AH21" s="14"/>
      <c r="AI21" s="14"/>
      <c r="AJ21" s="14"/>
      <c r="AK21" s="14"/>
      <c r="AL21" s="14"/>
      <c r="AM21" s="14"/>
      <c r="AN21" s="14"/>
      <c r="AO21" s="14"/>
      <c r="AP21" s="14"/>
      <c r="AR21" t="str">
        <f t="shared" si="1"/>
        <v/>
      </c>
      <c r="AS21" s="85">
        <f t="shared" si="5"/>
        <v>0</v>
      </c>
      <c r="AT21" s="85"/>
      <c r="AU21" s="85">
        <f t="shared" si="2"/>
        <v>0</v>
      </c>
      <c r="AV21" s="85">
        <f t="shared" si="6"/>
        <v>0</v>
      </c>
      <c r="AW21">
        <f t="shared" si="7"/>
        <v>0</v>
      </c>
      <c r="AX21" s="86">
        <f t="shared" si="0"/>
        <v>0</v>
      </c>
      <c r="AY21">
        <f t="shared" si="4"/>
        <v>0</v>
      </c>
      <c r="AZ21"/>
    </row>
    <row r="22" spans="1:53" ht="12" customHeight="1" thickBot="1">
      <c r="A22" s="14"/>
      <c r="B22" s="14"/>
      <c r="C22" s="14"/>
      <c r="D22" s="14"/>
      <c r="E22" s="6"/>
      <c r="F22" s="368"/>
      <c r="G22" s="33" t="s">
        <v>32</v>
      </c>
      <c r="H22" s="34"/>
      <c r="I22" s="35">
        <f>T10</f>
        <v>6.6419759778007584E-2</v>
      </c>
      <c r="J22" s="36"/>
      <c r="K22" s="36"/>
      <c r="L22" s="36"/>
      <c r="M22" s="36"/>
      <c r="N22" s="37"/>
      <c r="O22" s="36"/>
      <c r="P22" s="6"/>
      <c r="Q22" s="193"/>
      <c r="R22" s="309"/>
      <c r="S22" s="383"/>
      <c r="T22" s="97"/>
      <c r="U22" s="379"/>
      <c r="V22" s="379"/>
      <c r="W22" s="380"/>
      <c r="X22" s="14"/>
      <c r="Y22" s="83"/>
      <c r="Z22" s="14"/>
      <c r="AA22" s="14"/>
      <c r="AB22" s="14"/>
      <c r="AC22" s="14"/>
      <c r="AD22" s="14"/>
      <c r="AE22" s="14"/>
      <c r="AF22" s="14"/>
      <c r="AG22" s="14"/>
      <c r="AH22" s="14"/>
      <c r="AI22" s="14"/>
      <c r="AJ22" s="14"/>
      <c r="AK22" s="14"/>
      <c r="AL22" s="14"/>
      <c r="AM22" s="14"/>
      <c r="AN22" s="14"/>
      <c r="AO22" s="14"/>
      <c r="AP22" s="14"/>
      <c r="AR22" t="str">
        <f t="shared" si="1"/>
        <v/>
      </c>
      <c r="AS22" s="85">
        <f t="shared" si="5"/>
        <v>0</v>
      </c>
      <c r="AT22" s="85"/>
      <c r="AU22" s="85">
        <f t="shared" si="2"/>
        <v>0</v>
      </c>
      <c r="AV22" s="85">
        <f t="shared" si="6"/>
        <v>0</v>
      </c>
      <c r="AW22">
        <f t="shared" si="7"/>
        <v>0</v>
      </c>
      <c r="AX22" s="86">
        <f t="shared" si="0"/>
        <v>0</v>
      </c>
      <c r="AY22">
        <f t="shared" si="4"/>
        <v>0</v>
      </c>
      <c r="AZ22"/>
    </row>
    <row r="23" spans="1:53" ht="10.75" customHeight="1">
      <c r="A23" s="14"/>
      <c r="B23" s="313" t="s">
        <v>234</v>
      </c>
      <c r="C23" s="349"/>
      <c r="D23" s="349"/>
      <c r="E23" s="349"/>
      <c r="F23" s="368"/>
      <c r="G23" s="33" t="s">
        <v>210</v>
      </c>
      <c r="H23" s="34"/>
      <c r="I23" s="35">
        <f>T11</f>
        <v>8.4574791987314712E-2</v>
      </c>
      <c r="J23" s="36"/>
      <c r="K23" s="36"/>
      <c r="L23" s="36"/>
      <c r="M23" s="36"/>
      <c r="N23" s="37"/>
      <c r="O23" s="36"/>
      <c r="P23" s="6"/>
      <c r="Q23" s="181"/>
      <c r="R23" s="84" t="s">
        <v>44</v>
      </c>
      <c r="S23" s="46">
        <f>W24/W23</f>
        <v>31.04464887090354</v>
      </c>
      <c r="T23" s="98"/>
      <c r="U23" s="45" t="s">
        <v>38</v>
      </c>
      <c r="V23" s="45"/>
      <c r="W23" s="47">
        <f>(R36/S36)*T5</f>
        <v>44.144172506162818</v>
      </c>
      <c r="X23" s="14"/>
      <c r="Y23" s="83"/>
      <c r="Z23" s="14"/>
      <c r="AA23" s="14"/>
      <c r="AB23" s="14"/>
      <c r="AC23" s="14"/>
      <c r="AD23" s="14"/>
      <c r="AE23" s="14"/>
      <c r="AF23" s="14"/>
      <c r="AG23" s="14"/>
      <c r="AH23" s="14"/>
      <c r="AI23" s="14"/>
      <c r="AJ23" s="14"/>
      <c r="AK23" s="14"/>
      <c r="AL23" s="14"/>
      <c r="AM23" s="14"/>
      <c r="AN23" s="14"/>
      <c r="AO23" s="14"/>
      <c r="AP23" s="14"/>
      <c r="AR23" t="str">
        <f t="shared" si="1"/>
        <v/>
      </c>
      <c r="AS23" s="85">
        <f t="shared" si="5"/>
        <v>0</v>
      </c>
      <c r="AT23" s="85"/>
      <c r="AU23" s="85">
        <f t="shared" si="2"/>
        <v>0</v>
      </c>
      <c r="AV23" s="85">
        <f t="shared" si="6"/>
        <v>0</v>
      </c>
      <c r="AW23">
        <f t="shared" si="7"/>
        <v>0</v>
      </c>
      <c r="AX23" s="86">
        <f t="shared" si="0"/>
        <v>0</v>
      </c>
      <c r="AY23">
        <f t="shared" si="4"/>
        <v>0</v>
      </c>
      <c r="AZ23"/>
    </row>
    <row r="24" spans="1:53" ht="12.5" customHeight="1" thickBot="1">
      <c r="A24" s="14"/>
      <c r="B24" s="350"/>
      <c r="C24" s="351"/>
      <c r="D24" s="351"/>
      <c r="E24" s="351"/>
      <c r="F24" s="368"/>
      <c r="G24" s="33" t="s">
        <v>14</v>
      </c>
      <c r="H24" s="34"/>
      <c r="I24" s="35">
        <f>'Optimistic deworming, iodine'!V19</f>
        <v>2.5865450862179438E-3</v>
      </c>
      <c r="J24" s="36"/>
      <c r="K24" s="36"/>
      <c r="L24" s="36"/>
      <c r="M24" s="36"/>
      <c r="N24" s="37"/>
      <c r="O24" s="36"/>
      <c r="P24" s="6"/>
      <c r="Q24" s="193"/>
      <c r="R24" s="84" t="s">
        <v>32</v>
      </c>
      <c r="S24" s="46">
        <f>W25/W23</f>
        <v>5.0209735732129683</v>
      </c>
      <c r="T24" s="98"/>
      <c r="U24" s="45" t="s">
        <v>39</v>
      </c>
      <c r="V24" s="45"/>
      <c r="W24" s="47">
        <f>T9*R36</f>
        <v>1370.4403351504186</v>
      </c>
      <c r="X24" s="14"/>
      <c r="Y24" s="6"/>
      <c r="Z24" s="14"/>
      <c r="AA24" s="14"/>
      <c r="AB24" s="14"/>
      <c r="AC24" s="14"/>
      <c r="AD24" s="14"/>
      <c r="AE24" s="14"/>
      <c r="AF24" s="14"/>
      <c r="AG24" s="14"/>
      <c r="AH24" s="14"/>
      <c r="AI24" s="14"/>
      <c r="AJ24" s="14"/>
      <c r="AK24" s="14"/>
      <c r="AL24" s="14"/>
      <c r="AM24" s="14"/>
      <c r="AN24" s="14"/>
      <c r="AO24" s="14"/>
      <c r="AP24" s="14"/>
      <c r="AR24" t="str">
        <f t="shared" si="1"/>
        <v/>
      </c>
      <c r="AS24" s="85">
        <f t="shared" si="5"/>
        <v>0</v>
      </c>
      <c r="AT24" s="85"/>
      <c r="AU24" s="85">
        <f t="shared" si="2"/>
        <v>0</v>
      </c>
      <c r="AV24" s="85">
        <f t="shared" si="6"/>
        <v>0</v>
      </c>
      <c r="AW24">
        <f>IF(ISNUMBER(AR25),SUM(AT24:AU24),SUM(AT24:AV24))</f>
        <v>0</v>
      </c>
      <c r="AX24" s="86">
        <f t="shared" si="0"/>
        <v>0</v>
      </c>
      <c r="AY24">
        <f t="shared" si="4"/>
        <v>0</v>
      </c>
      <c r="AZ24"/>
    </row>
    <row r="25" spans="1:53" ht="14.5" customHeight="1">
      <c r="A25" s="14"/>
      <c r="B25" s="350"/>
      <c r="C25" s="351"/>
      <c r="D25" s="351"/>
      <c r="E25" s="351"/>
      <c r="F25" s="38" t="s">
        <v>48</v>
      </c>
      <c r="G25" s="39"/>
      <c r="H25" s="39"/>
      <c r="I25" s="40">
        <f>'Optimistic deworming, iodine'!V19*J36</f>
        <v>0.73954497105143457</v>
      </c>
      <c r="J25" s="36"/>
      <c r="K25" s="36"/>
      <c r="L25" s="36"/>
      <c r="M25" s="36"/>
      <c r="N25" s="37"/>
      <c r="O25" s="36"/>
      <c r="P25" s="6"/>
      <c r="Q25" s="372" t="s">
        <v>235</v>
      </c>
      <c r="R25" s="84" t="s">
        <v>210</v>
      </c>
      <c r="S25" s="46">
        <f>W27/W23</f>
        <v>6.3933955339130462</v>
      </c>
      <c r="T25" s="22"/>
      <c r="U25" s="45" t="s">
        <v>32</v>
      </c>
      <c r="V25" s="45"/>
      <c r="W25" s="47">
        <f>T10*R36</f>
        <v>221.64672356479798</v>
      </c>
      <c r="X25" s="6"/>
      <c r="Y25" s="6"/>
      <c r="Z25" s="14"/>
      <c r="AA25" s="14"/>
      <c r="AB25" s="14"/>
      <c r="AC25" s="14"/>
      <c r="AD25" s="14"/>
      <c r="AE25" s="14"/>
      <c r="AF25" s="14"/>
      <c r="AG25" s="14"/>
      <c r="AH25" s="14"/>
      <c r="AI25" s="14"/>
      <c r="AJ25" s="14"/>
      <c r="AK25" s="14"/>
      <c r="AL25" s="14"/>
      <c r="AM25" s="14"/>
      <c r="AN25" s="14"/>
      <c r="AO25" s="14"/>
      <c r="AP25" s="14"/>
      <c r="AR25" t="str">
        <f>IF(AR24&lt;$D$14,AR24+1,"")</f>
        <v/>
      </c>
      <c r="AS25" s="85">
        <f>IF(ISNUMBER(AR25),AV24,0)</f>
        <v>0</v>
      </c>
      <c r="AT25" s="85"/>
      <c r="AU25" s="85">
        <f t="shared" si="2"/>
        <v>0</v>
      </c>
      <c r="AV25" s="85">
        <f t="shared" si="6"/>
        <v>0</v>
      </c>
      <c r="AW25">
        <f t="shared" si="7"/>
        <v>0</v>
      </c>
      <c r="AX25" s="86">
        <f t="shared" si="0"/>
        <v>0</v>
      </c>
      <c r="AY25">
        <f t="shared" si="4"/>
        <v>0</v>
      </c>
      <c r="AZ25"/>
    </row>
    <row r="26" spans="1:53" ht="12" customHeight="1" thickBot="1">
      <c r="A26" s="14"/>
      <c r="B26" s="315"/>
      <c r="C26" s="352"/>
      <c r="D26" s="352"/>
      <c r="E26" s="352"/>
      <c r="F26" s="15"/>
      <c r="G26" s="6"/>
      <c r="H26" s="6"/>
      <c r="I26" s="6"/>
      <c r="J26" s="6"/>
      <c r="K26" s="6"/>
      <c r="L26" s="6"/>
      <c r="M26" s="6"/>
      <c r="N26" s="12"/>
      <c r="O26" s="36"/>
      <c r="P26" s="6"/>
      <c r="Q26" s="373"/>
      <c r="R26" s="15"/>
      <c r="S26" s="6"/>
      <c r="T26" s="6"/>
      <c r="U26" s="45" t="s">
        <v>14</v>
      </c>
      <c r="V26" s="45"/>
      <c r="W26" s="47">
        <f>V19*R36</f>
        <v>8.6314561454144521</v>
      </c>
      <c r="X26" s="14"/>
      <c r="Y26" s="14"/>
      <c r="Z26" s="14"/>
      <c r="AA26" s="14"/>
      <c r="AB26" s="14"/>
      <c r="AC26" s="14"/>
      <c r="AD26" s="14"/>
      <c r="AE26" s="14"/>
      <c r="AF26" s="14"/>
      <c r="AG26" s="14"/>
      <c r="AH26" s="14"/>
      <c r="AI26" s="14"/>
      <c r="AJ26" s="14"/>
      <c r="AK26" s="14"/>
      <c r="AL26" s="14"/>
      <c r="AM26" s="14"/>
      <c r="AN26" s="14"/>
      <c r="AO26" s="14"/>
      <c r="AP26" s="14"/>
      <c r="AR26" t="str">
        <f t="shared" si="1"/>
        <v/>
      </c>
      <c r="AS26" s="85">
        <f t="shared" si="5"/>
        <v>0</v>
      </c>
      <c r="AT26" s="85"/>
      <c r="AU26" s="85">
        <f t="shared" si="2"/>
        <v>0</v>
      </c>
      <c r="AV26" s="85">
        <f t="shared" si="6"/>
        <v>0</v>
      </c>
      <c r="AW26">
        <f t="shared" si="7"/>
        <v>0</v>
      </c>
      <c r="AX26" s="86">
        <f t="shared" si="0"/>
        <v>0</v>
      </c>
      <c r="AY26">
        <f t="shared" si="4"/>
        <v>0</v>
      </c>
      <c r="AZ26"/>
    </row>
    <row r="27" spans="1:53" ht="12.5" customHeight="1">
      <c r="A27" s="14"/>
      <c r="B27" s="14"/>
      <c r="C27" s="14"/>
      <c r="D27" s="14"/>
      <c r="E27" s="6"/>
      <c r="F27" s="41" t="s">
        <v>41</v>
      </c>
      <c r="G27" s="42">
        <f>I21/I24</f>
        <v>158.77278550253413</v>
      </c>
      <c r="H27" s="43" t="s">
        <v>42</v>
      </c>
      <c r="I27" s="39"/>
      <c r="J27" s="39"/>
      <c r="K27" s="39"/>
      <c r="L27" s="39"/>
      <c r="M27" s="39"/>
      <c r="N27" s="44"/>
      <c r="O27" s="36"/>
      <c r="P27" s="6"/>
      <c r="Q27" s="373"/>
      <c r="R27" s="15"/>
      <c r="S27" s="6"/>
      <c r="T27" s="6"/>
      <c r="U27" s="45" t="s">
        <v>210</v>
      </c>
      <c r="V27" s="45"/>
      <c r="W27" s="47">
        <f>T11*R36</f>
        <v>282.23115534918844</v>
      </c>
      <c r="X27" s="14"/>
      <c r="Y27" s="14"/>
      <c r="Z27" s="14"/>
      <c r="AA27" s="14"/>
      <c r="AB27" s="14"/>
      <c r="AC27" s="14"/>
      <c r="AD27" s="14"/>
      <c r="AE27" s="14"/>
      <c r="AF27" s="14"/>
      <c r="AG27" s="14"/>
      <c r="AH27" s="14"/>
      <c r="AI27" s="14"/>
      <c r="AJ27" s="14"/>
      <c r="AK27" s="14"/>
      <c r="AL27" s="14"/>
      <c r="AM27" s="14"/>
      <c r="AN27" s="14"/>
      <c r="AO27" s="14"/>
      <c r="AP27" s="14"/>
      <c r="AR27" t="str">
        <f t="shared" si="1"/>
        <v/>
      </c>
      <c r="AS27" s="85">
        <f t="shared" si="5"/>
        <v>0</v>
      </c>
      <c r="AT27" s="85"/>
      <c r="AU27" s="85">
        <f t="shared" si="2"/>
        <v>0</v>
      </c>
      <c r="AV27" s="85">
        <f t="shared" si="6"/>
        <v>0</v>
      </c>
      <c r="AW27">
        <f t="shared" si="7"/>
        <v>0</v>
      </c>
      <c r="AX27" s="86">
        <f t="shared" si="0"/>
        <v>0</v>
      </c>
      <c r="AY27">
        <f t="shared" si="4"/>
        <v>0</v>
      </c>
      <c r="AZ27" s="117"/>
      <c r="BA27" s="14"/>
    </row>
    <row r="28" spans="1:53" s="14" customFormat="1" ht="14.5" customHeight="1" thickBot="1">
      <c r="E28" s="6"/>
      <c r="F28" s="41" t="s">
        <v>43</v>
      </c>
      <c r="G28" s="42">
        <f>I22/I24</f>
        <v>25.678949163467632</v>
      </c>
      <c r="H28" s="43" t="s">
        <v>42</v>
      </c>
      <c r="I28" s="39"/>
      <c r="J28" s="39"/>
      <c r="K28" s="39"/>
      <c r="L28" s="39"/>
      <c r="M28" s="39"/>
      <c r="N28" s="44"/>
      <c r="O28" s="36"/>
      <c r="P28" s="6"/>
      <c r="Q28" s="374"/>
      <c r="R28" s="15"/>
      <c r="S28" s="6"/>
      <c r="T28" s="6"/>
      <c r="U28" s="6"/>
      <c r="V28" s="6"/>
      <c r="W28" s="12"/>
      <c r="AR28" t="str">
        <f t="shared" si="1"/>
        <v/>
      </c>
      <c r="AS28" s="85">
        <f t="shared" si="5"/>
        <v>0</v>
      </c>
      <c r="AT28" s="85"/>
      <c r="AU28" s="85">
        <f t="shared" si="2"/>
        <v>0</v>
      </c>
      <c r="AV28" s="85">
        <f t="shared" si="6"/>
        <v>0</v>
      </c>
      <c r="AW28">
        <f t="shared" si="7"/>
        <v>0</v>
      </c>
      <c r="AX28" s="86">
        <f t="shared" si="0"/>
        <v>0</v>
      </c>
      <c r="AY28">
        <f t="shared" si="4"/>
        <v>0</v>
      </c>
      <c r="AZ28"/>
      <c r="BA28" s="1"/>
    </row>
    <row r="29" spans="1:53" ht="13.75" customHeight="1">
      <c r="A29" s="14"/>
      <c r="B29" s="14"/>
      <c r="C29" s="14"/>
      <c r="D29" s="14"/>
      <c r="E29" s="6"/>
      <c r="F29" s="41" t="s">
        <v>228</v>
      </c>
      <c r="G29" s="42">
        <f>I23/I24</f>
        <v>32.69797709615041</v>
      </c>
      <c r="H29" s="43" t="s">
        <v>42</v>
      </c>
      <c r="I29" s="39"/>
      <c r="J29" s="39"/>
      <c r="K29" s="39"/>
      <c r="L29" s="39"/>
      <c r="M29" s="39"/>
      <c r="N29" s="44"/>
      <c r="O29" s="36"/>
      <c r="P29" s="6"/>
      <c r="Q29" s="193"/>
      <c r="R29" s="375" t="s">
        <v>231</v>
      </c>
      <c r="S29" s="376"/>
      <c r="T29" s="376"/>
      <c r="U29" s="376"/>
      <c r="V29" s="376"/>
      <c r="W29" s="100">
        <f>W24-W23</f>
        <v>1326.2961626442557</v>
      </c>
      <c r="X29" s="14"/>
      <c r="Y29" s="14"/>
      <c r="Z29" s="14"/>
      <c r="AA29" s="14"/>
      <c r="AB29" s="14"/>
      <c r="AC29" s="14"/>
      <c r="AD29" s="14"/>
      <c r="AE29" s="14"/>
      <c r="AF29" s="14"/>
      <c r="AG29" s="14"/>
      <c r="AH29" s="14"/>
      <c r="AI29" s="14"/>
      <c r="AJ29" s="14"/>
      <c r="AK29" s="14"/>
      <c r="AL29" s="14"/>
      <c r="AM29" s="14"/>
      <c r="AN29" s="14"/>
      <c r="AO29" s="14"/>
      <c r="AP29" s="14"/>
      <c r="AR29" t="str">
        <f t="shared" si="1"/>
        <v/>
      </c>
      <c r="AS29" s="85">
        <f t="shared" si="5"/>
        <v>0</v>
      </c>
      <c r="AT29" s="85"/>
      <c r="AU29" s="85">
        <f t="shared" si="2"/>
        <v>0</v>
      </c>
      <c r="AV29" s="85">
        <f t="shared" si="6"/>
        <v>0</v>
      </c>
      <c r="AW29">
        <f t="shared" si="7"/>
        <v>0</v>
      </c>
      <c r="AX29" s="86">
        <f t="shared" si="0"/>
        <v>0</v>
      </c>
      <c r="AY29">
        <f t="shared" si="4"/>
        <v>0</v>
      </c>
      <c r="AZ29"/>
    </row>
    <row r="30" spans="1:53" ht="13.25" customHeight="1">
      <c r="A30" s="14"/>
      <c r="B30" s="14"/>
      <c r="C30" s="14"/>
      <c r="D30" s="14"/>
      <c r="E30" s="6"/>
      <c r="F30" s="15"/>
      <c r="G30" s="6"/>
      <c r="H30" s="6"/>
      <c r="I30" s="6"/>
      <c r="J30" s="36"/>
      <c r="K30" s="36"/>
      <c r="L30" s="36"/>
      <c r="M30" s="36"/>
      <c r="N30" s="37"/>
      <c r="O30" s="36"/>
      <c r="P30" s="6"/>
      <c r="Q30" s="193"/>
      <c r="R30" s="375" t="s">
        <v>230</v>
      </c>
      <c r="S30" s="376"/>
      <c r="T30" s="376"/>
      <c r="U30" s="376"/>
      <c r="V30" s="376"/>
      <c r="W30" s="100">
        <f>W25-W23</f>
        <v>177.50255105863516</v>
      </c>
      <c r="X30" s="14"/>
      <c r="Y30" s="14"/>
      <c r="Z30" s="14"/>
      <c r="AA30" s="14"/>
      <c r="AB30" s="14"/>
      <c r="AC30" s="14"/>
      <c r="AD30" s="14"/>
      <c r="AE30" s="14"/>
      <c r="AF30" s="14"/>
      <c r="AG30" s="14"/>
      <c r="AH30" s="14"/>
      <c r="AI30" s="14"/>
      <c r="AJ30" s="14"/>
      <c r="AK30" s="14"/>
      <c r="AL30" s="14"/>
      <c r="AM30" s="14"/>
      <c r="AN30" s="14"/>
      <c r="AO30" s="14"/>
      <c r="AP30" s="14"/>
      <c r="AR30" t="str">
        <f t="shared" si="1"/>
        <v/>
      </c>
      <c r="AS30" s="85">
        <f t="shared" si="5"/>
        <v>0</v>
      </c>
      <c r="AT30" s="85"/>
      <c r="AU30" s="85">
        <f t="shared" si="2"/>
        <v>0</v>
      </c>
      <c r="AV30" s="85">
        <f t="shared" si="6"/>
        <v>0</v>
      </c>
      <c r="AW30">
        <f>IF(ISNUMBER(AR33),SUM(AT30:AU30),SUM(AT30:AV30))</f>
        <v>0</v>
      </c>
      <c r="AX30" s="86">
        <f t="shared" si="0"/>
        <v>0</v>
      </c>
      <c r="AY30">
        <f t="shared" si="4"/>
        <v>0</v>
      </c>
      <c r="AZ30"/>
    </row>
    <row r="31" spans="1:53" ht="13.25" customHeight="1" thickBot="1">
      <c r="A31" s="14"/>
      <c r="B31" s="14"/>
      <c r="C31" s="14"/>
      <c r="D31" s="14"/>
      <c r="E31" s="6"/>
      <c r="F31" s="368" t="s">
        <v>184</v>
      </c>
      <c r="G31" s="33" t="s">
        <v>33</v>
      </c>
      <c r="H31" s="34"/>
      <c r="I31" s="40">
        <f>1000/V14</f>
        <v>70.246703221845237</v>
      </c>
      <c r="J31" s="36"/>
      <c r="K31" s="36"/>
      <c r="L31" s="36"/>
      <c r="M31" s="36"/>
      <c r="N31" s="37"/>
      <c r="O31" s="36"/>
      <c r="P31" s="6"/>
      <c r="Q31" s="194"/>
      <c r="R31" s="370" t="s">
        <v>229</v>
      </c>
      <c r="S31" s="371"/>
      <c r="T31" s="371"/>
      <c r="U31" s="371"/>
      <c r="V31" s="371"/>
      <c r="W31" s="101">
        <f>W27-W23</f>
        <v>238.08698284302562</v>
      </c>
      <c r="X31" s="14"/>
      <c r="Y31" s="14"/>
      <c r="Z31" s="14"/>
      <c r="AA31" s="14"/>
      <c r="AB31" s="14"/>
      <c r="AC31" s="14"/>
      <c r="AD31" s="14"/>
      <c r="AE31" s="14"/>
      <c r="AF31" s="14"/>
      <c r="AG31" s="14"/>
      <c r="AH31" s="14"/>
      <c r="AI31" s="14"/>
      <c r="AJ31" s="14"/>
      <c r="AK31" s="14"/>
      <c r="AL31" s="14"/>
      <c r="AM31" s="14"/>
      <c r="AN31" s="14"/>
      <c r="AO31" s="14"/>
      <c r="AP31" s="14"/>
      <c r="AR31"/>
      <c r="AS31" s="85"/>
      <c r="AT31" s="85"/>
      <c r="AU31" s="85"/>
      <c r="AV31" s="85"/>
      <c r="AW31"/>
      <c r="AX31" s="86"/>
      <c r="AY31"/>
      <c r="AZ31"/>
    </row>
    <row r="32" spans="1:53" ht="13.25" customHeight="1">
      <c r="A32" s="14"/>
      <c r="B32" s="14"/>
      <c r="C32" s="14"/>
      <c r="D32" s="14"/>
      <c r="E32" s="6"/>
      <c r="F32" s="368"/>
      <c r="G32" s="33" t="s">
        <v>32</v>
      </c>
      <c r="H32" s="34"/>
      <c r="I32" s="40">
        <f>1000/V15</f>
        <v>435.75011799866786</v>
      </c>
      <c r="J32" s="36"/>
      <c r="K32" s="36"/>
      <c r="L32" s="36"/>
      <c r="M32" s="36"/>
      <c r="N32" s="37"/>
      <c r="O32" s="36"/>
      <c r="P32" s="6"/>
      <c r="Q32" s="114"/>
      <c r="R32" s="115"/>
      <c r="S32" s="115"/>
      <c r="T32" s="115"/>
      <c r="U32" s="115"/>
      <c r="V32" s="115"/>
      <c r="W32" s="116"/>
      <c r="X32" s="14"/>
      <c r="Y32" s="14"/>
      <c r="Z32" s="14"/>
      <c r="AA32" s="14"/>
      <c r="AB32" s="14"/>
      <c r="AC32" s="14"/>
      <c r="AD32" s="14"/>
      <c r="AE32" s="14"/>
      <c r="AF32" s="14"/>
      <c r="AG32" s="14"/>
      <c r="AH32" s="14"/>
      <c r="AI32" s="14"/>
      <c r="AJ32" s="14"/>
      <c r="AK32" s="14"/>
      <c r="AL32" s="14"/>
      <c r="AM32" s="14"/>
      <c r="AN32" s="14"/>
      <c r="AO32" s="14"/>
      <c r="AP32" s="14"/>
      <c r="AR32"/>
      <c r="AS32" s="85"/>
      <c r="AT32" s="85"/>
      <c r="AU32" s="85"/>
      <c r="AV32" s="85"/>
      <c r="AW32"/>
      <c r="AX32" s="86"/>
      <c r="AY32"/>
      <c r="AZ32"/>
    </row>
    <row r="33" spans="1:52" ht="13.75" customHeight="1" thickBot="1">
      <c r="A33" s="14"/>
      <c r="B33" s="14"/>
      <c r="C33" s="14"/>
      <c r="D33" s="14"/>
      <c r="E33" s="14"/>
      <c r="F33" s="369"/>
      <c r="G33" s="118" t="s">
        <v>210</v>
      </c>
      <c r="H33" s="119"/>
      <c r="I33" s="120">
        <f>1000/V16</f>
        <v>330.87964497477253</v>
      </c>
      <c r="J33" s="7"/>
      <c r="K33" s="7"/>
      <c r="L33" s="7"/>
      <c r="M33" s="7"/>
      <c r="N33" s="182"/>
      <c r="O33" s="14"/>
      <c r="P33" s="14"/>
      <c r="Q33" s="114"/>
      <c r="R33" s="115"/>
      <c r="S33" s="115"/>
      <c r="T33" s="115"/>
      <c r="U33" s="115"/>
      <c r="V33" s="115"/>
      <c r="W33" s="116"/>
      <c r="X33" s="14"/>
      <c r="Y33" s="14"/>
      <c r="Z33" s="14"/>
      <c r="AA33" s="14"/>
      <c r="AB33" s="14"/>
      <c r="AC33" s="14"/>
      <c r="AD33" s="14"/>
      <c r="AE33" s="14"/>
      <c r="AF33" s="14"/>
      <c r="AG33" s="14"/>
      <c r="AH33" s="14"/>
      <c r="AI33" s="14"/>
      <c r="AJ33" s="14"/>
      <c r="AK33" s="14"/>
      <c r="AL33" s="14"/>
      <c r="AM33" s="14"/>
      <c r="AN33" s="14"/>
      <c r="AO33" s="14"/>
      <c r="AP33" s="14"/>
      <c r="AR33" t="str">
        <f>IF(AR30&lt;$D$14,AR30+1,"")</f>
        <v/>
      </c>
      <c r="AS33" s="85">
        <f>IF(ISNUMBER(AR33),AV30,0)</f>
        <v>0</v>
      </c>
      <c r="AT33" s="85"/>
      <c r="AU33" s="85">
        <f t="shared" si="2"/>
        <v>0</v>
      </c>
      <c r="AV33" s="85">
        <f t="shared" si="6"/>
        <v>0</v>
      </c>
      <c r="AW33">
        <f t="shared" si="7"/>
        <v>0</v>
      </c>
      <c r="AX33" s="86">
        <f>LN(AW33+$J$36)-LN($J$36)</f>
        <v>0</v>
      </c>
      <c r="AY33">
        <f t="shared" si="4"/>
        <v>0</v>
      </c>
    </row>
    <row r="34" spans="1:52" ht="51" customHeight="1" thickBot="1">
      <c r="B34" s="14"/>
      <c r="C34" s="14"/>
      <c r="D34" s="14"/>
      <c r="E34" s="14"/>
      <c r="F34" s="14"/>
      <c r="G34" s="14"/>
      <c r="H34" s="14"/>
      <c r="I34" s="14"/>
      <c r="J34" s="14"/>
      <c r="K34" s="14"/>
      <c r="L34" s="14"/>
      <c r="M34" s="14"/>
      <c r="N34" s="14"/>
      <c r="O34" s="14"/>
      <c r="P34" s="14"/>
      <c r="Q34" s="114"/>
      <c r="R34" s="115"/>
      <c r="S34" s="115"/>
      <c r="T34" s="115"/>
      <c r="U34" s="115"/>
      <c r="V34" s="115"/>
      <c r="W34" s="116"/>
      <c r="X34" s="14"/>
      <c r="Y34" s="14"/>
      <c r="Z34" s="14"/>
      <c r="AA34" s="14"/>
      <c r="AB34" s="14"/>
      <c r="AC34" s="14"/>
      <c r="AD34" s="14"/>
      <c r="AE34" s="14"/>
      <c r="AF34" s="14"/>
      <c r="AG34" s="14"/>
      <c r="AH34" s="14"/>
      <c r="AI34" s="14"/>
      <c r="AJ34" s="14"/>
      <c r="AK34" s="14"/>
      <c r="AL34" s="14"/>
      <c r="AM34" s="14"/>
      <c r="AQ34"/>
      <c r="AR34" t="str">
        <f t="shared" si="1"/>
        <v/>
      </c>
      <c r="AS34" s="85">
        <f t="shared" si="5"/>
        <v>0</v>
      </c>
      <c r="AT34" s="85"/>
      <c r="AU34" s="85">
        <f t="shared" si="2"/>
        <v>0</v>
      </c>
      <c r="AV34" s="85">
        <f t="shared" si="6"/>
        <v>0</v>
      </c>
      <c r="AW34">
        <f t="shared" si="7"/>
        <v>0</v>
      </c>
      <c r="AX34" s="86">
        <f>LN(AW34+$J$36)-LN($J$36)</f>
        <v>0</v>
      </c>
      <c r="AY34">
        <f t="shared" si="4"/>
        <v>0</v>
      </c>
    </row>
    <row r="35" spans="1:52" ht="31.25" customHeight="1">
      <c r="A35" s="14"/>
      <c r="B35" s="327" t="s">
        <v>29</v>
      </c>
      <c r="C35" s="16"/>
      <c r="D35" s="330" t="s">
        <v>24</v>
      </c>
      <c r="E35" s="331"/>
      <c r="F35" s="332"/>
      <c r="G35" s="18" t="s">
        <v>16</v>
      </c>
      <c r="H35" s="341" t="s">
        <v>27</v>
      </c>
      <c r="I35" s="342"/>
      <c r="J35" s="330" t="s">
        <v>26</v>
      </c>
      <c r="K35" s="331"/>
      <c r="L35" s="331"/>
      <c r="M35" s="331"/>
      <c r="N35" s="332"/>
      <c r="O35" s="330" t="s">
        <v>17</v>
      </c>
      <c r="P35" s="332"/>
      <c r="Q35" s="202" t="s">
        <v>18</v>
      </c>
      <c r="R35" s="103" t="s">
        <v>178</v>
      </c>
      <c r="S35" s="213" t="s">
        <v>25</v>
      </c>
      <c r="T35" s="214"/>
      <c r="U35" s="103" t="s">
        <v>172</v>
      </c>
      <c r="V35" s="103" t="s">
        <v>222</v>
      </c>
      <c r="W35" s="111" t="s">
        <v>225</v>
      </c>
      <c r="X35" s="14"/>
      <c r="Y35" s="14"/>
      <c r="Z35" s="14"/>
      <c r="AA35" s="14"/>
      <c r="AB35" s="14"/>
      <c r="AC35" s="14"/>
      <c r="AD35" s="14"/>
      <c r="AE35" s="14"/>
      <c r="AF35" s="14"/>
      <c r="AG35" s="14"/>
      <c r="AH35" s="14"/>
      <c r="AI35" s="14"/>
      <c r="AJ35" s="14"/>
      <c r="AK35" s="14"/>
      <c r="AL35" s="14"/>
      <c r="AM35" s="14"/>
      <c r="AQ35"/>
      <c r="AR35" t="str">
        <f t="shared" si="1"/>
        <v/>
      </c>
      <c r="AS35" s="85">
        <f t="shared" si="5"/>
        <v>0</v>
      </c>
      <c r="AT35" s="85"/>
      <c r="AU35" s="85">
        <f t="shared" si="2"/>
        <v>0</v>
      </c>
      <c r="AV35" s="85">
        <f t="shared" si="6"/>
        <v>0</v>
      </c>
      <c r="AW35">
        <f t="shared" si="7"/>
        <v>0</v>
      </c>
      <c r="AX35" s="86">
        <f>LN(AW35+$J$36)-LN($J$36)</f>
        <v>0</v>
      </c>
      <c r="AY35">
        <f t="shared" si="4"/>
        <v>0</v>
      </c>
      <c r="AZ35"/>
    </row>
    <row r="36" spans="1:52" ht="12" customHeight="1">
      <c r="A36" s="14"/>
      <c r="B36" s="328"/>
      <c r="C36" s="19" t="s">
        <v>20</v>
      </c>
      <c r="D36" s="333">
        <v>0.253</v>
      </c>
      <c r="E36" s="334"/>
      <c r="F36" s="335"/>
      <c r="G36" s="26">
        <v>2.41</v>
      </c>
      <c r="H36" s="336">
        <v>4.7</v>
      </c>
      <c r="I36" s="337"/>
      <c r="J36" s="338">
        <v>285.92</v>
      </c>
      <c r="K36" s="339"/>
      <c r="L36" s="339"/>
      <c r="M36" s="339"/>
      <c r="N36" s="340"/>
      <c r="O36" s="385">
        <v>1000</v>
      </c>
      <c r="P36" s="386"/>
      <c r="Q36" s="102">
        <v>288</v>
      </c>
      <c r="R36" s="104">
        <v>3337.06</v>
      </c>
      <c r="S36" s="204">
        <v>6.32</v>
      </c>
      <c r="T36" s="203"/>
      <c r="U36" s="185">
        <f>AVERAGE(36.46,36.59)</f>
        <v>36.525000000000006</v>
      </c>
      <c r="V36" s="185">
        <v>15</v>
      </c>
      <c r="W36" s="173">
        <v>0.43099999999999999</v>
      </c>
      <c r="X36" s="14"/>
      <c r="Y36" s="6"/>
      <c r="Z36" s="14"/>
      <c r="AA36" s="14"/>
      <c r="AB36" s="14"/>
      <c r="AC36" s="14"/>
      <c r="AD36" s="14"/>
      <c r="AE36" s="14"/>
      <c r="AF36" s="14"/>
      <c r="AG36" s="14"/>
      <c r="AH36" s="14"/>
      <c r="AI36" s="14"/>
      <c r="AJ36" s="14"/>
      <c r="AK36" s="14"/>
      <c r="AL36" s="14"/>
      <c r="AM36" s="14"/>
      <c r="AN36" s="14"/>
      <c r="AR36" t="str">
        <f t="shared" si="1"/>
        <v/>
      </c>
      <c r="AS36" s="85">
        <f t="shared" si="5"/>
        <v>0</v>
      </c>
      <c r="AT36" s="85"/>
      <c r="AU36" s="85">
        <f t="shared" si="2"/>
        <v>0</v>
      </c>
      <c r="AV36" s="85">
        <f t="shared" si="6"/>
        <v>0</v>
      </c>
      <c r="AW36">
        <f t="shared" si="7"/>
        <v>0</v>
      </c>
      <c r="AX36" s="86">
        <f>LN(AW36+$J$36)-LN($J$36)</f>
        <v>0</v>
      </c>
      <c r="AY36">
        <f t="shared" si="4"/>
        <v>0</v>
      </c>
      <c r="AZ36"/>
    </row>
    <row r="37" spans="1:52" ht="12" customHeight="1" thickBot="1">
      <c r="A37" s="14"/>
      <c r="B37" s="329"/>
      <c r="C37" s="20" t="s">
        <v>21</v>
      </c>
      <c r="D37" s="394" t="s">
        <v>22</v>
      </c>
      <c r="E37" s="394"/>
      <c r="F37" s="394"/>
      <c r="G37" s="393" t="s">
        <v>23</v>
      </c>
      <c r="H37" s="393"/>
      <c r="I37" s="393"/>
      <c r="J37" s="393"/>
      <c r="K37" s="393"/>
      <c r="L37" s="393"/>
      <c r="M37" s="393"/>
      <c r="N37" s="393"/>
      <c r="O37" s="393"/>
      <c r="P37" s="393"/>
      <c r="Q37" s="393"/>
      <c r="R37" s="364" t="s">
        <v>140</v>
      </c>
      <c r="S37" s="365"/>
      <c r="T37" s="366"/>
      <c r="U37" s="186" t="s">
        <v>185</v>
      </c>
      <c r="V37" s="187" t="s">
        <v>223</v>
      </c>
      <c r="W37" s="188" t="s">
        <v>307</v>
      </c>
      <c r="X37" s="14"/>
      <c r="Y37" s="6"/>
      <c r="Z37" s="14"/>
      <c r="AA37" s="14"/>
      <c r="AB37" s="14"/>
      <c r="AC37" s="14"/>
      <c r="AD37" s="14"/>
      <c r="AE37" s="14"/>
      <c r="AF37" s="14"/>
      <c r="AG37" s="14"/>
      <c r="AH37" s="14"/>
      <c r="AI37" s="14"/>
      <c r="AJ37" s="14"/>
      <c r="AK37" s="14"/>
      <c r="AL37" s="14"/>
      <c r="AM37" s="14"/>
      <c r="AN37" s="14"/>
      <c r="AO37" s="14"/>
      <c r="AP37" s="14"/>
      <c r="AR37" t="str">
        <f t="shared" si="1"/>
        <v/>
      </c>
      <c r="AS37" s="85">
        <f t="shared" si="5"/>
        <v>0</v>
      </c>
      <c r="AT37" s="85"/>
      <c r="AU37" s="85">
        <f t="shared" si="2"/>
        <v>0</v>
      </c>
      <c r="AV37" s="85">
        <f t="shared" si="6"/>
        <v>0</v>
      </c>
      <c r="AW37">
        <f t="shared" si="7"/>
        <v>0</v>
      </c>
      <c r="AX37" s="86">
        <f>LN(AW37+$J$36)-LN($J$36)</f>
        <v>0</v>
      </c>
      <c r="AY37">
        <f t="shared" si="4"/>
        <v>0</v>
      </c>
      <c r="AZ37"/>
    </row>
    <row r="38" spans="1:52" s="14" customFormat="1" ht="14">
      <c r="J38" s="148"/>
      <c r="K38" s="148"/>
      <c r="L38" s="148"/>
      <c r="M38" s="148"/>
      <c r="Y38" s="6"/>
      <c r="AR38" s="117" t="str">
        <f t="shared" si="1"/>
        <v/>
      </c>
      <c r="AS38" s="183">
        <f t="shared" si="5"/>
        <v>0</v>
      </c>
      <c r="AT38" s="183"/>
      <c r="AU38" s="183">
        <f t="shared" si="2"/>
        <v>0</v>
      </c>
      <c r="AV38" s="183">
        <f t="shared" si="6"/>
        <v>0</v>
      </c>
      <c r="AW38" s="117">
        <f t="shared" si="7"/>
        <v>0</v>
      </c>
      <c r="AX38" s="184">
        <f t="shared" ref="AX38:AX101" si="8">LN(AW38+$J$36)-LN($J$36)</f>
        <v>0</v>
      </c>
      <c r="AY38" s="117">
        <f t="shared" si="4"/>
        <v>0</v>
      </c>
      <c r="AZ38" s="117"/>
    </row>
    <row r="39" spans="1:52" s="14" customFormat="1" ht="14">
      <c r="AR39" s="117" t="str">
        <f t="shared" si="1"/>
        <v/>
      </c>
      <c r="AS39" s="183">
        <f t="shared" si="5"/>
        <v>0</v>
      </c>
      <c r="AT39" s="183"/>
      <c r="AU39" s="183">
        <f t="shared" si="2"/>
        <v>0</v>
      </c>
      <c r="AV39" s="183">
        <f t="shared" si="6"/>
        <v>0</v>
      </c>
      <c r="AW39" s="117">
        <f t="shared" si="7"/>
        <v>0</v>
      </c>
      <c r="AX39" s="184">
        <f t="shared" si="8"/>
        <v>0</v>
      </c>
      <c r="AY39" s="117">
        <f t="shared" si="4"/>
        <v>0</v>
      </c>
      <c r="AZ39" s="117"/>
    </row>
    <row r="40" spans="1:52" s="14" customFormat="1" ht="14">
      <c r="AR40" s="117" t="str">
        <f t="shared" si="1"/>
        <v/>
      </c>
      <c r="AS40" s="183">
        <f t="shared" si="5"/>
        <v>0</v>
      </c>
      <c r="AT40" s="183"/>
      <c r="AU40" s="183">
        <f t="shared" si="2"/>
        <v>0</v>
      </c>
      <c r="AV40" s="183">
        <f t="shared" si="6"/>
        <v>0</v>
      </c>
      <c r="AW40" s="117">
        <f t="shared" si="7"/>
        <v>0</v>
      </c>
      <c r="AX40" s="184">
        <f t="shared" si="8"/>
        <v>0</v>
      </c>
      <c r="AY40" s="117">
        <f t="shared" si="4"/>
        <v>0</v>
      </c>
      <c r="AZ40" s="117"/>
    </row>
    <row r="41" spans="1:52" s="14" customFormat="1" ht="14">
      <c r="AR41" s="117" t="str">
        <f t="shared" si="1"/>
        <v/>
      </c>
      <c r="AS41" s="183">
        <f t="shared" si="5"/>
        <v>0</v>
      </c>
      <c r="AT41" s="183"/>
      <c r="AU41" s="183">
        <f t="shared" si="2"/>
        <v>0</v>
      </c>
      <c r="AV41" s="183">
        <f t="shared" si="6"/>
        <v>0</v>
      </c>
      <c r="AW41" s="117">
        <f t="shared" si="7"/>
        <v>0</v>
      </c>
      <c r="AX41" s="184">
        <f t="shared" si="8"/>
        <v>0</v>
      </c>
      <c r="AY41" s="117">
        <f t="shared" si="4"/>
        <v>0</v>
      </c>
      <c r="AZ41" s="117"/>
    </row>
    <row r="42" spans="1:52" s="14" customFormat="1" ht="14">
      <c r="AR42" s="117" t="str">
        <f t="shared" si="1"/>
        <v/>
      </c>
      <c r="AS42" s="183">
        <f t="shared" si="5"/>
        <v>0</v>
      </c>
      <c r="AT42" s="183"/>
      <c r="AU42" s="183">
        <f t="shared" si="2"/>
        <v>0</v>
      </c>
      <c r="AV42" s="183">
        <f t="shared" si="6"/>
        <v>0</v>
      </c>
      <c r="AW42" s="117">
        <f t="shared" si="7"/>
        <v>0</v>
      </c>
      <c r="AX42" s="184">
        <f t="shared" si="8"/>
        <v>0</v>
      </c>
      <c r="AY42" s="117">
        <f t="shared" si="4"/>
        <v>0</v>
      </c>
      <c r="AZ42" s="117"/>
    </row>
    <row r="43" spans="1:52" s="14" customFormat="1" ht="14">
      <c r="AR43" s="117" t="str">
        <f t="shared" si="1"/>
        <v/>
      </c>
      <c r="AS43" s="183">
        <f t="shared" si="5"/>
        <v>0</v>
      </c>
      <c r="AT43" s="183"/>
      <c r="AU43" s="183">
        <f t="shared" si="2"/>
        <v>0</v>
      </c>
      <c r="AV43" s="183">
        <f t="shared" si="6"/>
        <v>0</v>
      </c>
      <c r="AW43" s="117">
        <f t="shared" si="7"/>
        <v>0</v>
      </c>
      <c r="AX43" s="184">
        <f t="shared" si="8"/>
        <v>0</v>
      </c>
      <c r="AY43" s="117">
        <f t="shared" si="4"/>
        <v>0</v>
      </c>
      <c r="AZ43" s="117"/>
    </row>
    <row r="44" spans="1:52" s="14" customFormat="1" ht="14">
      <c r="AR44" s="117" t="str">
        <f t="shared" si="1"/>
        <v/>
      </c>
      <c r="AS44" s="183">
        <f t="shared" si="5"/>
        <v>0</v>
      </c>
      <c r="AT44" s="183"/>
      <c r="AU44" s="183">
        <f t="shared" si="2"/>
        <v>0</v>
      </c>
      <c r="AV44" s="183">
        <f t="shared" si="6"/>
        <v>0</v>
      </c>
      <c r="AW44" s="117">
        <f t="shared" si="7"/>
        <v>0</v>
      </c>
      <c r="AX44" s="184">
        <f t="shared" si="8"/>
        <v>0</v>
      </c>
      <c r="AY44" s="117">
        <f t="shared" si="4"/>
        <v>0</v>
      </c>
      <c r="AZ44" s="117"/>
    </row>
    <row r="45" spans="1:52" s="14" customFormat="1" ht="14">
      <c r="AR45" s="117" t="str">
        <f t="shared" si="1"/>
        <v/>
      </c>
      <c r="AS45" s="183">
        <f t="shared" si="5"/>
        <v>0</v>
      </c>
      <c r="AT45" s="183"/>
      <c r="AU45" s="183">
        <f t="shared" si="2"/>
        <v>0</v>
      </c>
      <c r="AV45" s="183">
        <f t="shared" si="6"/>
        <v>0</v>
      </c>
      <c r="AW45" s="117">
        <f t="shared" si="7"/>
        <v>0</v>
      </c>
      <c r="AX45" s="184">
        <f t="shared" si="8"/>
        <v>0</v>
      </c>
      <c r="AY45" s="117">
        <f t="shared" si="4"/>
        <v>0</v>
      </c>
      <c r="AZ45" s="117"/>
    </row>
    <row r="46" spans="1:52" s="14" customFormat="1" ht="14">
      <c r="AR46" s="117" t="str">
        <f t="shared" si="1"/>
        <v/>
      </c>
      <c r="AS46" s="183">
        <f t="shared" si="5"/>
        <v>0</v>
      </c>
      <c r="AT46" s="183"/>
      <c r="AU46" s="183">
        <f t="shared" si="2"/>
        <v>0</v>
      </c>
      <c r="AV46" s="183">
        <f t="shared" si="6"/>
        <v>0</v>
      </c>
      <c r="AW46" s="117">
        <f t="shared" si="7"/>
        <v>0</v>
      </c>
      <c r="AX46" s="184">
        <f t="shared" si="8"/>
        <v>0</v>
      </c>
      <c r="AY46" s="117">
        <f t="shared" si="4"/>
        <v>0</v>
      </c>
      <c r="AZ46" s="117"/>
    </row>
    <row r="47" spans="1:52" s="14" customFormat="1" ht="14">
      <c r="AR47" s="117" t="str">
        <f t="shared" si="1"/>
        <v/>
      </c>
      <c r="AS47" s="183">
        <f t="shared" si="5"/>
        <v>0</v>
      </c>
      <c r="AT47" s="183"/>
      <c r="AU47" s="183">
        <f t="shared" si="2"/>
        <v>0</v>
      </c>
      <c r="AV47" s="183">
        <f t="shared" si="6"/>
        <v>0</v>
      </c>
      <c r="AW47" s="117">
        <f t="shared" si="7"/>
        <v>0</v>
      </c>
      <c r="AX47" s="184">
        <f t="shared" si="8"/>
        <v>0</v>
      </c>
      <c r="AY47" s="117">
        <f t="shared" si="4"/>
        <v>0</v>
      </c>
      <c r="AZ47" s="117"/>
    </row>
    <row r="48" spans="1:52" s="14" customFormat="1" ht="14">
      <c r="AR48" s="117" t="str">
        <f t="shared" si="1"/>
        <v/>
      </c>
      <c r="AS48" s="183">
        <f t="shared" si="5"/>
        <v>0</v>
      </c>
      <c r="AT48" s="183"/>
      <c r="AU48" s="183">
        <f t="shared" si="2"/>
        <v>0</v>
      </c>
      <c r="AV48" s="183">
        <f t="shared" si="6"/>
        <v>0</v>
      </c>
      <c r="AW48" s="117">
        <f t="shared" si="7"/>
        <v>0</v>
      </c>
      <c r="AX48" s="184">
        <f t="shared" si="8"/>
        <v>0</v>
      </c>
      <c r="AY48" s="117">
        <f t="shared" si="4"/>
        <v>0</v>
      </c>
      <c r="AZ48" s="117"/>
    </row>
    <row r="49" spans="44:52" s="14" customFormat="1" ht="14">
      <c r="AR49" s="117" t="str">
        <f t="shared" si="1"/>
        <v/>
      </c>
      <c r="AS49" s="183">
        <f t="shared" si="5"/>
        <v>0</v>
      </c>
      <c r="AT49" s="183"/>
      <c r="AU49" s="183">
        <f t="shared" si="2"/>
        <v>0</v>
      </c>
      <c r="AV49" s="183">
        <f t="shared" si="6"/>
        <v>0</v>
      </c>
      <c r="AW49" s="117">
        <f t="shared" si="7"/>
        <v>0</v>
      </c>
      <c r="AX49" s="184">
        <f t="shared" si="8"/>
        <v>0</v>
      </c>
      <c r="AY49" s="117">
        <f t="shared" si="4"/>
        <v>0</v>
      </c>
      <c r="AZ49" s="117"/>
    </row>
    <row r="50" spans="44:52" s="14" customFormat="1" ht="14">
      <c r="AR50" s="117" t="str">
        <f t="shared" si="1"/>
        <v/>
      </c>
      <c r="AS50" s="183">
        <f t="shared" si="5"/>
        <v>0</v>
      </c>
      <c r="AT50" s="183"/>
      <c r="AU50" s="183">
        <f t="shared" si="2"/>
        <v>0</v>
      </c>
      <c r="AV50" s="183">
        <f t="shared" si="6"/>
        <v>0</v>
      </c>
      <c r="AW50" s="117">
        <f t="shared" si="7"/>
        <v>0</v>
      </c>
      <c r="AX50" s="184">
        <f t="shared" si="8"/>
        <v>0</v>
      </c>
      <c r="AY50" s="117">
        <f t="shared" si="4"/>
        <v>0</v>
      </c>
      <c r="AZ50" s="117"/>
    </row>
    <row r="51" spans="44:52" s="14" customFormat="1" ht="14">
      <c r="AR51" s="117" t="str">
        <f t="shared" si="1"/>
        <v/>
      </c>
      <c r="AS51" s="183">
        <f t="shared" si="5"/>
        <v>0</v>
      </c>
      <c r="AT51" s="183"/>
      <c r="AU51" s="183">
        <f t="shared" si="2"/>
        <v>0</v>
      </c>
      <c r="AV51" s="183">
        <f t="shared" si="6"/>
        <v>0</v>
      </c>
      <c r="AW51" s="117">
        <f t="shared" si="7"/>
        <v>0</v>
      </c>
      <c r="AX51" s="184">
        <f t="shared" si="8"/>
        <v>0</v>
      </c>
      <c r="AY51" s="117">
        <f t="shared" si="4"/>
        <v>0</v>
      </c>
      <c r="AZ51" s="117"/>
    </row>
    <row r="52" spans="44:52" s="14" customFormat="1" ht="14">
      <c r="AR52" s="117" t="str">
        <f t="shared" si="1"/>
        <v/>
      </c>
      <c r="AS52" s="183">
        <f t="shared" si="5"/>
        <v>0</v>
      </c>
      <c r="AT52" s="183"/>
      <c r="AU52" s="183">
        <f t="shared" si="2"/>
        <v>0</v>
      </c>
      <c r="AV52" s="183">
        <f t="shared" si="6"/>
        <v>0</v>
      </c>
      <c r="AW52" s="117">
        <f t="shared" si="7"/>
        <v>0</v>
      </c>
      <c r="AX52" s="184">
        <f t="shared" si="8"/>
        <v>0</v>
      </c>
      <c r="AY52" s="117">
        <f t="shared" si="4"/>
        <v>0</v>
      </c>
      <c r="AZ52" s="117"/>
    </row>
    <row r="53" spans="44:52" s="14" customFormat="1" ht="14">
      <c r="AR53" s="117" t="str">
        <f t="shared" si="1"/>
        <v/>
      </c>
      <c r="AS53" s="183">
        <f t="shared" si="5"/>
        <v>0</v>
      </c>
      <c r="AT53" s="183"/>
      <c r="AU53" s="183">
        <f t="shared" si="2"/>
        <v>0</v>
      </c>
      <c r="AV53" s="183">
        <f t="shared" si="6"/>
        <v>0</v>
      </c>
      <c r="AW53" s="117">
        <f t="shared" si="7"/>
        <v>0</v>
      </c>
      <c r="AX53" s="184">
        <f t="shared" si="8"/>
        <v>0</v>
      </c>
      <c r="AY53" s="117">
        <f t="shared" si="4"/>
        <v>0</v>
      </c>
      <c r="AZ53" s="117"/>
    </row>
    <row r="54" spans="44:52" s="14" customFormat="1" ht="14">
      <c r="AR54" s="117" t="str">
        <f t="shared" si="1"/>
        <v/>
      </c>
      <c r="AS54" s="183">
        <f t="shared" si="5"/>
        <v>0</v>
      </c>
      <c r="AT54" s="183"/>
      <c r="AU54" s="183">
        <f t="shared" si="2"/>
        <v>0</v>
      </c>
      <c r="AV54" s="183">
        <f t="shared" si="6"/>
        <v>0</v>
      </c>
      <c r="AW54" s="117">
        <f t="shared" si="7"/>
        <v>0</v>
      </c>
      <c r="AX54" s="184">
        <f t="shared" si="8"/>
        <v>0</v>
      </c>
      <c r="AY54" s="117">
        <f t="shared" si="4"/>
        <v>0</v>
      </c>
      <c r="AZ54" s="117"/>
    </row>
    <row r="55" spans="44:52" s="14" customFormat="1" ht="14">
      <c r="AR55" s="117" t="str">
        <f t="shared" si="1"/>
        <v/>
      </c>
      <c r="AS55" s="183">
        <f t="shared" si="5"/>
        <v>0</v>
      </c>
      <c r="AT55" s="183"/>
      <c r="AU55" s="183">
        <f t="shared" si="2"/>
        <v>0</v>
      </c>
      <c r="AV55" s="183">
        <f t="shared" si="6"/>
        <v>0</v>
      </c>
      <c r="AW55" s="117">
        <f t="shared" si="7"/>
        <v>0</v>
      </c>
      <c r="AX55" s="184">
        <f t="shared" si="8"/>
        <v>0</v>
      </c>
      <c r="AY55" s="117">
        <f t="shared" si="4"/>
        <v>0</v>
      </c>
      <c r="AZ55" s="117"/>
    </row>
    <row r="56" spans="44:52" s="14" customFormat="1" ht="14">
      <c r="AR56" s="117" t="str">
        <f t="shared" si="1"/>
        <v/>
      </c>
      <c r="AS56" s="183">
        <f t="shared" si="5"/>
        <v>0</v>
      </c>
      <c r="AT56" s="183"/>
      <c r="AU56" s="183">
        <f t="shared" si="2"/>
        <v>0</v>
      </c>
      <c r="AV56" s="183">
        <f t="shared" si="6"/>
        <v>0</v>
      </c>
      <c r="AW56" s="117">
        <f t="shared" si="7"/>
        <v>0</v>
      </c>
      <c r="AX56" s="184">
        <f t="shared" si="8"/>
        <v>0</v>
      </c>
      <c r="AY56" s="117">
        <f t="shared" si="4"/>
        <v>0</v>
      </c>
      <c r="AZ56" s="117"/>
    </row>
    <row r="57" spans="44:52" s="14" customFormat="1" ht="14">
      <c r="AR57" s="117" t="str">
        <f t="shared" si="1"/>
        <v/>
      </c>
      <c r="AS57" s="183">
        <f t="shared" si="5"/>
        <v>0</v>
      </c>
      <c r="AT57" s="183"/>
      <c r="AU57" s="183">
        <f t="shared" si="2"/>
        <v>0</v>
      </c>
      <c r="AV57" s="183">
        <f t="shared" si="6"/>
        <v>0</v>
      </c>
      <c r="AW57" s="117">
        <f t="shared" si="7"/>
        <v>0</v>
      </c>
      <c r="AX57" s="184">
        <f t="shared" si="8"/>
        <v>0</v>
      </c>
      <c r="AY57" s="117">
        <f t="shared" si="4"/>
        <v>0</v>
      </c>
      <c r="AZ57" s="117"/>
    </row>
    <row r="58" spans="44:52" s="14" customFormat="1" ht="14">
      <c r="AR58" s="117" t="str">
        <f t="shared" si="1"/>
        <v/>
      </c>
      <c r="AS58" s="183">
        <f t="shared" si="5"/>
        <v>0</v>
      </c>
      <c r="AT58" s="183"/>
      <c r="AU58" s="183">
        <f t="shared" si="2"/>
        <v>0</v>
      </c>
      <c r="AV58" s="183">
        <f t="shared" si="6"/>
        <v>0</v>
      </c>
      <c r="AW58" s="117">
        <f t="shared" si="7"/>
        <v>0</v>
      </c>
      <c r="AX58" s="184">
        <f t="shared" si="8"/>
        <v>0</v>
      </c>
      <c r="AY58" s="117">
        <f t="shared" si="4"/>
        <v>0</v>
      </c>
      <c r="AZ58" s="117"/>
    </row>
    <row r="59" spans="44:52" s="14" customFormat="1" ht="14">
      <c r="AR59" s="117" t="str">
        <f t="shared" si="1"/>
        <v/>
      </c>
      <c r="AS59" s="183">
        <f t="shared" si="5"/>
        <v>0</v>
      </c>
      <c r="AT59" s="183"/>
      <c r="AU59" s="183">
        <f t="shared" si="2"/>
        <v>0</v>
      </c>
      <c r="AV59" s="183">
        <f t="shared" si="6"/>
        <v>0</v>
      </c>
      <c r="AW59" s="117">
        <f t="shared" si="7"/>
        <v>0</v>
      </c>
      <c r="AX59" s="184">
        <f t="shared" si="8"/>
        <v>0</v>
      </c>
      <c r="AY59" s="117">
        <f t="shared" si="4"/>
        <v>0</v>
      </c>
      <c r="AZ59" s="117"/>
    </row>
    <row r="60" spans="44:52" s="14" customFormat="1" ht="14">
      <c r="AR60" s="117" t="str">
        <f t="shared" si="1"/>
        <v/>
      </c>
      <c r="AS60" s="183">
        <f t="shared" si="5"/>
        <v>0</v>
      </c>
      <c r="AT60" s="183"/>
      <c r="AU60" s="183">
        <f t="shared" si="2"/>
        <v>0</v>
      </c>
      <c r="AV60" s="183">
        <f t="shared" si="6"/>
        <v>0</v>
      </c>
      <c r="AW60" s="117">
        <f t="shared" si="7"/>
        <v>0</v>
      </c>
      <c r="AX60" s="184">
        <f t="shared" si="8"/>
        <v>0</v>
      </c>
      <c r="AY60" s="117">
        <f t="shared" si="4"/>
        <v>0</v>
      </c>
      <c r="AZ60" s="117"/>
    </row>
    <row r="61" spans="44:52" s="14" customFormat="1" ht="14">
      <c r="AR61" s="117" t="str">
        <f t="shared" si="1"/>
        <v/>
      </c>
      <c r="AS61" s="183">
        <f t="shared" si="5"/>
        <v>0</v>
      </c>
      <c r="AT61" s="183"/>
      <c r="AU61" s="183">
        <f t="shared" si="2"/>
        <v>0</v>
      </c>
      <c r="AV61" s="183">
        <f t="shared" si="6"/>
        <v>0</v>
      </c>
      <c r="AW61" s="117">
        <f t="shared" si="7"/>
        <v>0</v>
      </c>
      <c r="AX61" s="184">
        <f t="shared" si="8"/>
        <v>0</v>
      </c>
      <c r="AY61" s="117">
        <f t="shared" si="4"/>
        <v>0</v>
      </c>
      <c r="AZ61" s="117"/>
    </row>
    <row r="62" spans="44:52" s="14" customFormat="1" ht="14">
      <c r="AR62" s="117" t="str">
        <f t="shared" si="1"/>
        <v/>
      </c>
      <c r="AS62" s="183">
        <f t="shared" si="5"/>
        <v>0</v>
      </c>
      <c r="AT62" s="183"/>
      <c r="AU62" s="183">
        <f t="shared" si="2"/>
        <v>0</v>
      </c>
      <c r="AV62" s="183">
        <f t="shared" si="6"/>
        <v>0</v>
      </c>
      <c r="AW62" s="117">
        <f t="shared" si="7"/>
        <v>0</v>
      </c>
      <c r="AX62" s="184">
        <f t="shared" si="8"/>
        <v>0</v>
      </c>
      <c r="AY62" s="117">
        <f t="shared" si="4"/>
        <v>0</v>
      </c>
      <c r="AZ62" s="117"/>
    </row>
    <row r="63" spans="44:52" s="14" customFormat="1" ht="14">
      <c r="AR63" s="117" t="str">
        <f t="shared" si="1"/>
        <v/>
      </c>
      <c r="AS63" s="183">
        <f t="shared" si="5"/>
        <v>0</v>
      </c>
      <c r="AT63" s="183"/>
      <c r="AU63" s="183">
        <f t="shared" si="2"/>
        <v>0</v>
      </c>
      <c r="AV63" s="183">
        <f t="shared" si="6"/>
        <v>0</v>
      </c>
      <c r="AW63" s="117">
        <f t="shared" si="7"/>
        <v>0</v>
      </c>
      <c r="AX63" s="184">
        <f t="shared" si="8"/>
        <v>0</v>
      </c>
      <c r="AY63" s="117">
        <f t="shared" si="4"/>
        <v>0</v>
      </c>
      <c r="AZ63" s="117"/>
    </row>
    <row r="64" spans="44:52" s="14" customFormat="1" ht="14">
      <c r="AR64" s="117" t="str">
        <f t="shared" si="1"/>
        <v/>
      </c>
      <c r="AS64" s="183">
        <f t="shared" si="5"/>
        <v>0</v>
      </c>
      <c r="AT64" s="183"/>
      <c r="AU64" s="183">
        <f t="shared" si="2"/>
        <v>0</v>
      </c>
      <c r="AV64" s="183">
        <f t="shared" si="6"/>
        <v>0</v>
      </c>
      <c r="AW64" s="117">
        <f t="shared" si="7"/>
        <v>0</v>
      </c>
      <c r="AX64" s="184">
        <f t="shared" si="8"/>
        <v>0</v>
      </c>
      <c r="AY64" s="117">
        <f t="shared" si="4"/>
        <v>0</v>
      </c>
      <c r="AZ64" s="117"/>
    </row>
    <row r="65" spans="44:52" s="14" customFormat="1" ht="14">
      <c r="AR65" s="117" t="str">
        <f t="shared" si="1"/>
        <v/>
      </c>
      <c r="AS65" s="183">
        <f t="shared" si="5"/>
        <v>0</v>
      </c>
      <c r="AT65" s="183"/>
      <c r="AU65" s="183">
        <f t="shared" si="2"/>
        <v>0</v>
      </c>
      <c r="AV65" s="183">
        <f t="shared" si="6"/>
        <v>0</v>
      </c>
      <c r="AW65" s="117">
        <f t="shared" si="7"/>
        <v>0</v>
      </c>
      <c r="AX65" s="184">
        <f t="shared" si="8"/>
        <v>0</v>
      </c>
      <c r="AY65" s="117">
        <f t="shared" si="4"/>
        <v>0</v>
      </c>
      <c r="AZ65" s="117"/>
    </row>
    <row r="66" spans="44:52" s="14" customFormat="1" ht="14">
      <c r="AR66" s="117" t="str">
        <f t="shared" si="1"/>
        <v/>
      </c>
      <c r="AS66" s="183">
        <f t="shared" si="5"/>
        <v>0</v>
      </c>
      <c r="AT66" s="183"/>
      <c r="AU66" s="183">
        <f t="shared" si="2"/>
        <v>0</v>
      </c>
      <c r="AV66" s="183">
        <f t="shared" si="6"/>
        <v>0</v>
      </c>
      <c r="AW66" s="117">
        <f t="shared" si="7"/>
        <v>0</v>
      </c>
      <c r="AX66" s="184">
        <f t="shared" si="8"/>
        <v>0</v>
      </c>
      <c r="AY66" s="117">
        <f t="shared" si="4"/>
        <v>0</v>
      </c>
      <c r="AZ66" s="117"/>
    </row>
    <row r="67" spans="44:52" s="14" customFormat="1" ht="14">
      <c r="AR67" s="117" t="str">
        <f t="shared" si="1"/>
        <v/>
      </c>
      <c r="AS67" s="183">
        <f t="shared" si="5"/>
        <v>0</v>
      </c>
      <c r="AT67" s="183"/>
      <c r="AU67" s="183">
        <f t="shared" si="2"/>
        <v>0</v>
      </c>
      <c r="AV67" s="183">
        <f t="shared" si="6"/>
        <v>0</v>
      </c>
      <c r="AW67" s="117">
        <f t="shared" si="7"/>
        <v>0</v>
      </c>
      <c r="AX67" s="184">
        <f t="shared" si="8"/>
        <v>0</v>
      </c>
      <c r="AY67" s="117">
        <f t="shared" si="4"/>
        <v>0</v>
      </c>
      <c r="AZ67" s="117"/>
    </row>
    <row r="68" spans="44:52" s="14" customFormat="1" ht="14">
      <c r="AR68" s="117" t="str">
        <f t="shared" si="1"/>
        <v/>
      </c>
      <c r="AS68" s="183">
        <f t="shared" si="5"/>
        <v>0</v>
      </c>
      <c r="AT68" s="183"/>
      <c r="AU68" s="183">
        <f t="shared" si="2"/>
        <v>0</v>
      </c>
      <c r="AV68" s="183">
        <f t="shared" si="6"/>
        <v>0</v>
      </c>
      <c r="AW68" s="117">
        <f t="shared" si="7"/>
        <v>0</v>
      </c>
      <c r="AX68" s="184">
        <f t="shared" si="8"/>
        <v>0</v>
      </c>
      <c r="AY68" s="117">
        <f t="shared" si="4"/>
        <v>0</v>
      </c>
      <c r="AZ68" s="117"/>
    </row>
    <row r="69" spans="44:52" s="14" customFormat="1" ht="14">
      <c r="AR69" s="117" t="str">
        <f t="shared" ref="AR69:AR113" si="9">IF(AR68&lt;$D$14,AR68+1,"")</f>
        <v/>
      </c>
      <c r="AS69" s="183">
        <f t="shared" si="5"/>
        <v>0</v>
      </c>
      <c r="AT69" s="183"/>
      <c r="AU69" s="183">
        <f t="shared" si="2"/>
        <v>0</v>
      </c>
      <c r="AV69" s="183">
        <f t="shared" si="6"/>
        <v>0</v>
      </c>
      <c r="AW69" s="117">
        <f t="shared" si="7"/>
        <v>0</v>
      </c>
      <c r="AX69" s="184">
        <f t="shared" si="8"/>
        <v>0</v>
      </c>
      <c r="AY69" s="117">
        <f t="shared" si="4"/>
        <v>0</v>
      </c>
      <c r="AZ69" s="117"/>
    </row>
    <row r="70" spans="44:52" s="14" customFormat="1" ht="14">
      <c r="AR70" s="117" t="str">
        <f t="shared" si="9"/>
        <v/>
      </c>
      <c r="AS70" s="183">
        <f t="shared" si="5"/>
        <v>0</v>
      </c>
      <c r="AT70" s="183"/>
      <c r="AU70" s="183">
        <f t="shared" si="2"/>
        <v>0</v>
      </c>
      <c r="AV70" s="183">
        <f t="shared" si="6"/>
        <v>0</v>
      </c>
      <c r="AW70" s="117">
        <f t="shared" si="7"/>
        <v>0</v>
      </c>
      <c r="AX70" s="184">
        <f t="shared" si="8"/>
        <v>0</v>
      </c>
      <c r="AY70" s="117">
        <f t="shared" si="4"/>
        <v>0</v>
      </c>
      <c r="AZ70" s="117"/>
    </row>
    <row r="71" spans="44:52" s="14" customFormat="1" ht="14">
      <c r="AR71" s="117" t="str">
        <f t="shared" si="9"/>
        <v/>
      </c>
      <c r="AS71" s="183">
        <f t="shared" si="5"/>
        <v>0</v>
      </c>
      <c r="AT71" s="183"/>
      <c r="AU71" s="183">
        <f t="shared" ref="AU71:AU113" si="10">$D$10*AS71</f>
        <v>0</v>
      </c>
      <c r="AV71" s="183">
        <f t="shared" si="6"/>
        <v>0</v>
      </c>
      <c r="AW71" s="117">
        <f t="shared" si="7"/>
        <v>0</v>
      </c>
      <c r="AX71" s="184">
        <f t="shared" si="8"/>
        <v>0</v>
      </c>
      <c r="AY71" s="117">
        <f t="shared" ref="AY71:AY113" si="11">IF(ISNUMBER(AR71),AX71/(1+$D$7)^AR71,0)</f>
        <v>0</v>
      </c>
      <c r="AZ71" s="117"/>
    </row>
    <row r="72" spans="44:52" s="14" customFormat="1" ht="14">
      <c r="AR72" s="117" t="str">
        <f t="shared" si="9"/>
        <v/>
      </c>
      <c r="AS72" s="183">
        <f t="shared" ref="AS72:AS113" si="12">IF(ISNUMBER(AR72),AV71,0)</f>
        <v>0</v>
      </c>
      <c r="AT72" s="183"/>
      <c r="AU72" s="183">
        <f t="shared" si="10"/>
        <v>0</v>
      </c>
      <c r="AV72" s="183">
        <f t="shared" ref="AV72:AV113" si="13">AS72</f>
        <v>0</v>
      </c>
      <c r="AW72" s="117">
        <f t="shared" si="7"/>
        <v>0</v>
      </c>
      <c r="AX72" s="184">
        <f t="shared" si="8"/>
        <v>0</v>
      </c>
      <c r="AY72" s="117">
        <f t="shared" si="11"/>
        <v>0</v>
      </c>
      <c r="AZ72" s="117"/>
    </row>
    <row r="73" spans="44:52" s="14" customFormat="1" ht="14">
      <c r="AR73" s="117" t="str">
        <f t="shared" si="9"/>
        <v/>
      </c>
      <c r="AS73" s="183">
        <f t="shared" si="12"/>
        <v>0</v>
      </c>
      <c r="AT73" s="183"/>
      <c r="AU73" s="183">
        <f t="shared" si="10"/>
        <v>0</v>
      </c>
      <c r="AV73" s="183">
        <f t="shared" si="13"/>
        <v>0</v>
      </c>
      <c r="AW73" s="117">
        <f t="shared" si="7"/>
        <v>0</v>
      </c>
      <c r="AX73" s="184">
        <f t="shared" si="8"/>
        <v>0</v>
      </c>
      <c r="AY73" s="117">
        <f t="shared" si="11"/>
        <v>0</v>
      </c>
      <c r="AZ73" s="117"/>
    </row>
    <row r="74" spans="44:52" s="14" customFormat="1" ht="14">
      <c r="AR74" s="117" t="str">
        <f t="shared" si="9"/>
        <v/>
      </c>
      <c r="AS74" s="183">
        <f t="shared" si="12"/>
        <v>0</v>
      </c>
      <c r="AT74" s="183"/>
      <c r="AU74" s="183">
        <f t="shared" si="10"/>
        <v>0</v>
      </c>
      <c r="AV74" s="183">
        <f t="shared" si="13"/>
        <v>0</v>
      </c>
      <c r="AW74" s="117">
        <f t="shared" si="7"/>
        <v>0</v>
      </c>
      <c r="AX74" s="184">
        <f t="shared" si="8"/>
        <v>0</v>
      </c>
      <c r="AY74" s="117">
        <f t="shared" si="11"/>
        <v>0</v>
      </c>
      <c r="AZ74" s="117"/>
    </row>
    <row r="75" spans="44:52" s="14" customFormat="1" ht="14">
      <c r="AR75" s="117" t="str">
        <f t="shared" si="9"/>
        <v/>
      </c>
      <c r="AS75" s="183">
        <f t="shared" si="12"/>
        <v>0</v>
      </c>
      <c r="AT75" s="183"/>
      <c r="AU75" s="183">
        <f t="shared" si="10"/>
        <v>0</v>
      </c>
      <c r="AV75" s="183">
        <f t="shared" si="13"/>
        <v>0</v>
      </c>
      <c r="AW75" s="117">
        <f t="shared" si="7"/>
        <v>0</v>
      </c>
      <c r="AX75" s="184">
        <f t="shared" si="8"/>
        <v>0</v>
      </c>
      <c r="AY75" s="117">
        <f t="shared" si="11"/>
        <v>0</v>
      </c>
      <c r="AZ75" s="117"/>
    </row>
    <row r="76" spans="44:52" s="14" customFormat="1" ht="14">
      <c r="AR76" s="117" t="str">
        <f t="shared" si="9"/>
        <v/>
      </c>
      <c r="AS76" s="183">
        <f t="shared" si="12"/>
        <v>0</v>
      </c>
      <c r="AT76" s="183"/>
      <c r="AU76" s="183">
        <f t="shared" si="10"/>
        <v>0</v>
      </c>
      <c r="AV76" s="183">
        <f t="shared" si="13"/>
        <v>0</v>
      </c>
      <c r="AW76" s="117">
        <f t="shared" si="7"/>
        <v>0</v>
      </c>
      <c r="AX76" s="184">
        <f t="shared" si="8"/>
        <v>0</v>
      </c>
      <c r="AY76" s="117">
        <f t="shared" si="11"/>
        <v>0</v>
      </c>
      <c r="AZ76" s="117"/>
    </row>
    <row r="77" spans="44:52" s="14" customFormat="1" ht="14">
      <c r="AR77" s="117" t="str">
        <f t="shared" si="9"/>
        <v/>
      </c>
      <c r="AS77" s="183">
        <f t="shared" si="12"/>
        <v>0</v>
      </c>
      <c r="AT77" s="183"/>
      <c r="AU77" s="183">
        <f t="shared" si="10"/>
        <v>0</v>
      </c>
      <c r="AV77" s="183">
        <f t="shared" si="13"/>
        <v>0</v>
      </c>
      <c r="AW77" s="117">
        <f t="shared" si="7"/>
        <v>0</v>
      </c>
      <c r="AX77" s="184">
        <f t="shared" si="8"/>
        <v>0</v>
      </c>
      <c r="AY77" s="117">
        <f t="shared" si="11"/>
        <v>0</v>
      </c>
      <c r="AZ77" s="117"/>
    </row>
    <row r="78" spans="44:52" s="14" customFormat="1" ht="14">
      <c r="AR78" s="117" t="str">
        <f t="shared" si="9"/>
        <v/>
      </c>
      <c r="AS78" s="183">
        <f t="shared" si="12"/>
        <v>0</v>
      </c>
      <c r="AT78" s="183"/>
      <c r="AU78" s="183">
        <f t="shared" si="10"/>
        <v>0</v>
      </c>
      <c r="AV78" s="183">
        <f t="shared" si="13"/>
        <v>0</v>
      </c>
      <c r="AW78" s="117">
        <f t="shared" si="7"/>
        <v>0</v>
      </c>
      <c r="AX78" s="184">
        <f t="shared" si="8"/>
        <v>0</v>
      </c>
      <c r="AY78" s="117">
        <f t="shared" si="11"/>
        <v>0</v>
      </c>
      <c r="AZ78" s="117"/>
    </row>
    <row r="79" spans="44:52" s="14" customFormat="1" ht="14">
      <c r="AR79" s="117" t="str">
        <f t="shared" si="9"/>
        <v/>
      </c>
      <c r="AS79" s="183">
        <f t="shared" si="12"/>
        <v>0</v>
      </c>
      <c r="AT79" s="183"/>
      <c r="AU79" s="183">
        <f t="shared" si="10"/>
        <v>0</v>
      </c>
      <c r="AV79" s="183">
        <f t="shared" si="13"/>
        <v>0</v>
      </c>
      <c r="AW79" s="117">
        <f t="shared" si="7"/>
        <v>0</v>
      </c>
      <c r="AX79" s="184">
        <f t="shared" si="8"/>
        <v>0</v>
      </c>
      <c r="AY79" s="117">
        <f t="shared" si="11"/>
        <v>0</v>
      </c>
      <c r="AZ79" s="117"/>
    </row>
    <row r="80" spans="44:52" s="14" customFormat="1" ht="14">
      <c r="AR80" s="117" t="str">
        <f t="shared" si="9"/>
        <v/>
      </c>
      <c r="AS80" s="183">
        <f t="shared" si="12"/>
        <v>0</v>
      </c>
      <c r="AT80" s="183"/>
      <c r="AU80" s="183">
        <f t="shared" si="10"/>
        <v>0</v>
      </c>
      <c r="AV80" s="183">
        <f t="shared" si="13"/>
        <v>0</v>
      </c>
      <c r="AW80" s="117">
        <f t="shared" si="7"/>
        <v>0</v>
      </c>
      <c r="AX80" s="184">
        <f t="shared" si="8"/>
        <v>0</v>
      </c>
      <c r="AY80" s="117">
        <f t="shared" si="11"/>
        <v>0</v>
      </c>
      <c r="AZ80" s="117"/>
    </row>
    <row r="81" spans="44:52" s="14" customFormat="1" ht="14">
      <c r="AR81" s="117" t="str">
        <f t="shared" si="9"/>
        <v/>
      </c>
      <c r="AS81" s="183">
        <f t="shared" si="12"/>
        <v>0</v>
      </c>
      <c r="AT81" s="183"/>
      <c r="AU81" s="183">
        <f t="shared" si="10"/>
        <v>0</v>
      </c>
      <c r="AV81" s="183">
        <f t="shared" si="13"/>
        <v>0</v>
      </c>
      <c r="AW81" s="117">
        <f t="shared" ref="AW81:AW113" si="14">IF(ISNUMBER(AR82),SUM(AT81:AU81),SUM(AT81:AV81))</f>
        <v>0</v>
      </c>
      <c r="AX81" s="184">
        <f t="shared" si="8"/>
        <v>0</v>
      </c>
      <c r="AY81" s="117">
        <f t="shared" si="11"/>
        <v>0</v>
      </c>
      <c r="AZ81" s="117"/>
    </row>
    <row r="82" spans="44:52" s="14" customFormat="1" ht="14">
      <c r="AR82" s="117" t="str">
        <f t="shared" si="9"/>
        <v/>
      </c>
      <c r="AS82" s="183">
        <f t="shared" si="12"/>
        <v>0</v>
      </c>
      <c r="AT82" s="183"/>
      <c r="AU82" s="183">
        <f t="shared" si="10"/>
        <v>0</v>
      </c>
      <c r="AV82" s="183">
        <f t="shared" si="13"/>
        <v>0</v>
      </c>
      <c r="AW82" s="117">
        <f t="shared" si="14"/>
        <v>0</v>
      </c>
      <c r="AX82" s="184">
        <f t="shared" si="8"/>
        <v>0</v>
      </c>
      <c r="AY82" s="117">
        <f t="shared" si="11"/>
        <v>0</v>
      </c>
      <c r="AZ82" s="117"/>
    </row>
    <row r="83" spans="44:52" s="14" customFormat="1" ht="14">
      <c r="AR83" s="117" t="str">
        <f t="shared" si="9"/>
        <v/>
      </c>
      <c r="AS83" s="183">
        <f t="shared" si="12"/>
        <v>0</v>
      </c>
      <c r="AT83" s="183"/>
      <c r="AU83" s="183">
        <f t="shared" si="10"/>
        <v>0</v>
      </c>
      <c r="AV83" s="183">
        <f t="shared" si="13"/>
        <v>0</v>
      </c>
      <c r="AW83" s="117">
        <f t="shared" si="14"/>
        <v>0</v>
      </c>
      <c r="AX83" s="184">
        <f t="shared" si="8"/>
        <v>0</v>
      </c>
      <c r="AY83" s="117">
        <f t="shared" si="11"/>
        <v>0</v>
      </c>
      <c r="AZ83" s="117"/>
    </row>
    <row r="84" spans="44:52" s="14" customFormat="1" ht="14">
      <c r="AR84" s="117" t="str">
        <f t="shared" si="9"/>
        <v/>
      </c>
      <c r="AS84" s="183">
        <f t="shared" si="12"/>
        <v>0</v>
      </c>
      <c r="AT84" s="183"/>
      <c r="AU84" s="183">
        <f t="shared" si="10"/>
        <v>0</v>
      </c>
      <c r="AV84" s="183">
        <f t="shared" si="13"/>
        <v>0</v>
      </c>
      <c r="AW84" s="117">
        <f t="shared" si="14"/>
        <v>0</v>
      </c>
      <c r="AX84" s="184">
        <f t="shared" si="8"/>
        <v>0</v>
      </c>
      <c r="AY84" s="117">
        <f t="shared" si="11"/>
        <v>0</v>
      </c>
      <c r="AZ84" s="117"/>
    </row>
    <row r="85" spans="44:52" s="14" customFormat="1" ht="14">
      <c r="AR85" s="117" t="str">
        <f t="shared" si="9"/>
        <v/>
      </c>
      <c r="AS85" s="183">
        <f t="shared" si="12"/>
        <v>0</v>
      </c>
      <c r="AT85" s="183"/>
      <c r="AU85" s="183">
        <f t="shared" si="10"/>
        <v>0</v>
      </c>
      <c r="AV85" s="183">
        <f t="shared" si="13"/>
        <v>0</v>
      </c>
      <c r="AW85" s="117">
        <f t="shared" si="14"/>
        <v>0</v>
      </c>
      <c r="AX85" s="184">
        <f t="shared" si="8"/>
        <v>0</v>
      </c>
      <c r="AY85" s="117">
        <f t="shared" si="11"/>
        <v>0</v>
      </c>
      <c r="AZ85" s="117"/>
    </row>
    <row r="86" spans="44:52" s="14" customFormat="1" ht="14">
      <c r="AR86" s="117" t="str">
        <f t="shared" si="9"/>
        <v/>
      </c>
      <c r="AS86" s="183">
        <f t="shared" si="12"/>
        <v>0</v>
      </c>
      <c r="AT86" s="183"/>
      <c r="AU86" s="183">
        <f t="shared" si="10"/>
        <v>0</v>
      </c>
      <c r="AV86" s="183">
        <f t="shared" si="13"/>
        <v>0</v>
      </c>
      <c r="AW86" s="117">
        <f t="shared" si="14"/>
        <v>0</v>
      </c>
      <c r="AX86" s="184">
        <f t="shared" si="8"/>
        <v>0</v>
      </c>
      <c r="AY86" s="117">
        <f t="shared" si="11"/>
        <v>0</v>
      </c>
      <c r="AZ86" s="117"/>
    </row>
    <row r="87" spans="44:52" s="14" customFormat="1" ht="14">
      <c r="AR87" s="117" t="str">
        <f t="shared" si="9"/>
        <v/>
      </c>
      <c r="AS87" s="183">
        <f t="shared" si="12"/>
        <v>0</v>
      </c>
      <c r="AT87" s="183"/>
      <c r="AU87" s="183">
        <f t="shared" si="10"/>
        <v>0</v>
      </c>
      <c r="AV87" s="183">
        <f t="shared" si="13"/>
        <v>0</v>
      </c>
      <c r="AW87" s="117">
        <f t="shared" si="14"/>
        <v>0</v>
      </c>
      <c r="AX87" s="184">
        <f t="shared" si="8"/>
        <v>0</v>
      </c>
      <c r="AY87" s="117">
        <f t="shared" si="11"/>
        <v>0</v>
      </c>
      <c r="AZ87" s="117"/>
    </row>
    <row r="88" spans="44:52" s="14" customFormat="1" ht="14">
      <c r="AR88" s="117" t="str">
        <f t="shared" si="9"/>
        <v/>
      </c>
      <c r="AS88" s="183">
        <f t="shared" si="12"/>
        <v>0</v>
      </c>
      <c r="AT88" s="183"/>
      <c r="AU88" s="183">
        <f t="shared" si="10"/>
        <v>0</v>
      </c>
      <c r="AV88" s="183">
        <f t="shared" si="13"/>
        <v>0</v>
      </c>
      <c r="AW88" s="117">
        <f t="shared" si="14"/>
        <v>0</v>
      </c>
      <c r="AX88" s="184">
        <f t="shared" si="8"/>
        <v>0</v>
      </c>
      <c r="AY88" s="117">
        <f t="shared" si="11"/>
        <v>0</v>
      </c>
      <c r="AZ88" s="117"/>
    </row>
    <row r="89" spans="44:52" s="14" customFormat="1" ht="14">
      <c r="AR89" s="117" t="str">
        <f t="shared" si="9"/>
        <v/>
      </c>
      <c r="AS89" s="183">
        <f t="shared" si="12"/>
        <v>0</v>
      </c>
      <c r="AT89" s="183"/>
      <c r="AU89" s="183">
        <f t="shared" si="10"/>
        <v>0</v>
      </c>
      <c r="AV89" s="183">
        <f t="shared" si="13"/>
        <v>0</v>
      </c>
      <c r="AW89" s="117">
        <f t="shared" si="14"/>
        <v>0</v>
      </c>
      <c r="AX89" s="184">
        <f t="shared" si="8"/>
        <v>0</v>
      </c>
      <c r="AY89" s="117">
        <f t="shared" si="11"/>
        <v>0</v>
      </c>
      <c r="AZ89" s="117"/>
    </row>
    <row r="90" spans="44:52" s="14" customFormat="1" ht="14">
      <c r="AR90" s="117" t="str">
        <f t="shared" si="9"/>
        <v/>
      </c>
      <c r="AS90" s="183">
        <f t="shared" si="12"/>
        <v>0</v>
      </c>
      <c r="AT90" s="183"/>
      <c r="AU90" s="183">
        <f t="shared" si="10"/>
        <v>0</v>
      </c>
      <c r="AV90" s="183">
        <f t="shared" si="13"/>
        <v>0</v>
      </c>
      <c r="AW90" s="117">
        <f t="shared" si="14"/>
        <v>0</v>
      </c>
      <c r="AX90" s="184">
        <f t="shared" si="8"/>
        <v>0</v>
      </c>
      <c r="AY90" s="117">
        <f t="shared" si="11"/>
        <v>0</v>
      </c>
      <c r="AZ90" s="117"/>
    </row>
    <row r="91" spans="44:52" s="14" customFormat="1" ht="14">
      <c r="AR91" s="117" t="str">
        <f t="shared" si="9"/>
        <v/>
      </c>
      <c r="AS91" s="183">
        <f t="shared" si="12"/>
        <v>0</v>
      </c>
      <c r="AT91" s="183"/>
      <c r="AU91" s="183">
        <f t="shared" si="10"/>
        <v>0</v>
      </c>
      <c r="AV91" s="183">
        <f t="shared" si="13"/>
        <v>0</v>
      </c>
      <c r="AW91" s="117">
        <f t="shared" si="14"/>
        <v>0</v>
      </c>
      <c r="AX91" s="184">
        <f t="shared" si="8"/>
        <v>0</v>
      </c>
      <c r="AY91" s="117">
        <f t="shared" si="11"/>
        <v>0</v>
      </c>
      <c r="AZ91" s="117"/>
    </row>
    <row r="92" spans="44:52" s="14" customFormat="1" ht="14">
      <c r="AR92" s="117" t="str">
        <f t="shared" si="9"/>
        <v/>
      </c>
      <c r="AS92" s="183">
        <f t="shared" si="12"/>
        <v>0</v>
      </c>
      <c r="AT92" s="183"/>
      <c r="AU92" s="183">
        <f t="shared" si="10"/>
        <v>0</v>
      </c>
      <c r="AV92" s="183">
        <f t="shared" si="13"/>
        <v>0</v>
      </c>
      <c r="AW92" s="117">
        <f t="shared" si="14"/>
        <v>0</v>
      </c>
      <c r="AX92" s="184">
        <f t="shared" si="8"/>
        <v>0</v>
      </c>
      <c r="AY92" s="117">
        <f t="shared" si="11"/>
        <v>0</v>
      </c>
      <c r="AZ92" s="117"/>
    </row>
    <row r="93" spans="44:52" s="14" customFormat="1" ht="14">
      <c r="AR93" s="117" t="str">
        <f t="shared" si="9"/>
        <v/>
      </c>
      <c r="AS93" s="183">
        <f t="shared" si="12"/>
        <v>0</v>
      </c>
      <c r="AT93" s="183"/>
      <c r="AU93" s="183">
        <f t="shared" si="10"/>
        <v>0</v>
      </c>
      <c r="AV93" s="183">
        <f t="shared" si="13"/>
        <v>0</v>
      </c>
      <c r="AW93" s="117">
        <f t="shared" si="14"/>
        <v>0</v>
      </c>
      <c r="AX93" s="184">
        <f t="shared" si="8"/>
        <v>0</v>
      </c>
      <c r="AY93" s="117">
        <f t="shared" si="11"/>
        <v>0</v>
      </c>
      <c r="AZ93" s="117"/>
    </row>
    <row r="94" spans="44:52" s="14" customFormat="1" ht="14">
      <c r="AR94" s="117" t="str">
        <f t="shared" si="9"/>
        <v/>
      </c>
      <c r="AS94" s="183">
        <f t="shared" si="12"/>
        <v>0</v>
      </c>
      <c r="AT94" s="183"/>
      <c r="AU94" s="183">
        <f t="shared" si="10"/>
        <v>0</v>
      </c>
      <c r="AV94" s="183">
        <f t="shared" si="13"/>
        <v>0</v>
      </c>
      <c r="AW94" s="117">
        <f t="shared" si="14"/>
        <v>0</v>
      </c>
      <c r="AX94" s="184">
        <f t="shared" si="8"/>
        <v>0</v>
      </c>
      <c r="AY94" s="117">
        <f t="shared" si="11"/>
        <v>0</v>
      </c>
      <c r="AZ94" s="117"/>
    </row>
    <row r="95" spans="44:52" s="14" customFormat="1" ht="14">
      <c r="AR95" s="117" t="str">
        <f t="shared" si="9"/>
        <v/>
      </c>
      <c r="AS95" s="183">
        <f t="shared" si="12"/>
        <v>0</v>
      </c>
      <c r="AT95" s="183"/>
      <c r="AU95" s="183">
        <f t="shared" si="10"/>
        <v>0</v>
      </c>
      <c r="AV95" s="183">
        <f t="shared" si="13"/>
        <v>0</v>
      </c>
      <c r="AW95" s="117">
        <f t="shared" si="14"/>
        <v>0</v>
      </c>
      <c r="AX95" s="184">
        <f t="shared" si="8"/>
        <v>0</v>
      </c>
      <c r="AY95" s="117">
        <f t="shared" si="11"/>
        <v>0</v>
      </c>
      <c r="AZ95" s="117"/>
    </row>
    <row r="96" spans="44:52" s="14" customFormat="1" ht="14">
      <c r="AR96" s="117" t="str">
        <f t="shared" si="9"/>
        <v/>
      </c>
      <c r="AS96" s="183">
        <f t="shared" si="12"/>
        <v>0</v>
      </c>
      <c r="AT96" s="183"/>
      <c r="AU96" s="183">
        <f t="shared" si="10"/>
        <v>0</v>
      </c>
      <c r="AV96" s="183">
        <f t="shared" si="13"/>
        <v>0</v>
      </c>
      <c r="AW96" s="117">
        <f t="shared" si="14"/>
        <v>0</v>
      </c>
      <c r="AX96" s="184">
        <f t="shared" si="8"/>
        <v>0</v>
      </c>
      <c r="AY96" s="117">
        <f t="shared" si="11"/>
        <v>0</v>
      </c>
      <c r="AZ96" s="117"/>
    </row>
    <row r="97" spans="44:52" s="14" customFormat="1" ht="14">
      <c r="AR97" s="117" t="str">
        <f t="shared" si="9"/>
        <v/>
      </c>
      <c r="AS97" s="183">
        <f t="shared" si="12"/>
        <v>0</v>
      </c>
      <c r="AT97" s="183"/>
      <c r="AU97" s="183">
        <f t="shared" si="10"/>
        <v>0</v>
      </c>
      <c r="AV97" s="183">
        <f t="shared" si="13"/>
        <v>0</v>
      </c>
      <c r="AW97" s="117">
        <f t="shared" si="14"/>
        <v>0</v>
      </c>
      <c r="AX97" s="184">
        <f t="shared" si="8"/>
        <v>0</v>
      </c>
      <c r="AY97" s="117">
        <f t="shared" si="11"/>
        <v>0</v>
      </c>
      <c r="AZ97" s="117"/>
    </row>
    <row r="98" spans="44:52" s="14" customFormat="1" ht="14">
      <c r="AR98" s="117" t="str">
        <f t="shared" si="9"/>
        <v/>
      </c>
      <c r="AS98" s="183">
        <f t="shared" si="12"/>
        <v>0</v>
      </c>
      <c r="AT98" s="183"/>
      <c r="AU98" s="183">
        <f t="shared" si="10"/>
        <v>0</v>
      </c>
      <c r="AV98" s="183">
        <f t="shared" si="13"/>
        <v>0</v>
      </c>
      <c r="AW98" s="117">
        <f t="shared" si="14"/>
        <v>0</v>
      </c>
      <c r="AX98" s="184">
        <f t="shared" si="8"/>
        <v>0</v>
      </c>
      <c r="AY98" s="117">
        <f t="shared" si="11"/>
        <v>0</v>
      </c>
      <c r="AZ98" s="117"/>
    </row>
    <row r="99" spans="44:52" s="14" customFormat="1" ht="14">
      <c r="AR99" s="117" t="str">
        <f t="shared" si="9"/>
        <v/>
      </c>
      <c r="AS99" s="183">
        <f t="shared" si="12"/>
        <v>0</v>
      </c>
      <c r="AT99" s="183"/>
      <c r="AU99" s="183">
        <f t="shared" si="10"/>
        <v>0</v>
      </c>
      <c r="AV99" s="183">
        <f t="shared" si="13"/>
        <v>0</v>
      </c>
      <c r="AW99" s="117">
        <f t="shared" si="14"/>
        <v>0</v>
      </c>
      <c r="AX99" s="184">
        <f t="shared" si="8"/>
        <v>0</v>
      </c>
      <c r="AY99" s="117">
        <f t="shared" si="11"/>
        <v>0</v>
      </c>
      <c r="AZ99" s="117"/>
    </row>
    <row r="100" spans="44:52" s="14" customFormat="1" ht="14">
      <c r="AR100" s="117" t="str">
        <f t="shared" si="9"/>
        <v/>
      </c>
      <c r="AS100" s="183">
        <f t="shared" si="12"/>
        <v>0</v>
      </c>
      <c r="AT100" s="183"/>
      <c r="AU100" s="183">
        <f t="shared" si="10"/>
        <v>0</v>
      </c>
      <c r="AV100" s="183">
        <f t="shared" si="13"/>
        <v>0</v>
      </c>
      <c r="AW100" s="117">
        <f t="shared" si="14"/>
        <v>0</v>
      </c>
      <c r="AX100" s="184">
        <f t="shared" si="8"/>
        <v>0</v>
      </c>
      <c r="AY100" s="117">
        <f t="shared" si="11"/>
        <v>0</v>
      </c>
      <c r="AZ100" s="117"/>
    </row>
    <row r="101" spans="44:52" s="14" customFormat="1" ht="14">
      <c r="AR101" s="117" t="str">
        <f t="shared" si="9"/>
        <v/>
      </c>
      <c r="AS101" s="183">
        <f t="shared" si="12"/>
        <v>0</v>
      </c>
      <c r="AT101" s="183"/>
      <c r="AU101" s="183">
        <f t="shared" si="10"/>
        <v>0</v>
      </c>
      <c r="AV101" s="183">
        <f t="shared" si="13"/>
        <v>0</v>
      </c>
      <c r="AW101" s="117">
        <f t="shared" si="14"/>
        <v>0</v>
      </c>
      <c r="AX101" s="184">
        <f t="shared" si="8"/>
        <v>0</v>
      </c>
      <c r="AY101" s="117">
        <f t="shared" si="11"/>
        <v>0</v>
      </c>
      <c r="AZ101" s="117"/>
    </row>
    <row r="102" spans="44:52" s="14" customFormat="1" ht="14">
      <c r="AR102" s="117" t="str">
        <f t="shared" si="9"/>
        <v/>
      </c>
      <c r="AS102" s="183">
        <f t="shared" si="12"/>
        <v>0</v>
      </c>
      <c r="AT102" s="183"/>
      <c r="AU102" s="183">
        <f t="shared" si="10"/>
        <v>0</v>
      </c>
      <c r="AV102" s="183">
        <f t="shared" si="13"/>
        <v>0</v>
      </c>
      <c r="AW102" s="117">
        <f t="shared" si="14"/>
        <v>0</v>
      </c>
      <c r="AX102" s="184">
        <f t="shared" ref="AX102:AX113" si="15">LN(AW102+$J$36)-LN($J$36)</f>
        <v>0</v>
      </c>
      <c r="AY102" s="117">
        <f t="shared" si="11"/>
        <v>0</v>
      </c>
      <c r="AZ102" s="117"/>
    </row>
    <row r="103" spans="44:52" s="14" customFormat="1" ht="14">
      <c r="AR103" s="117" t="str">
        <f t="shared" si="9"/>
        <v/>
      </c>
      <c r="AS103" s="183">
        <f t="shared" si="12"/>
        <v>0</v>
      </c>
      <c r="AT103" s="183"/>
      <c r="AU103" s="183">
        <f t="shared" si="10"/>
        <v>0</v>
      </c>
      <c r="AV103" s="183">
        <f t="shared" si="13"/>
        <v>0</v>
      </c>
      <c r="AW103" s="117">
        <f t="shared" si="14"/>
        <v>0</v>
      </c>
      <c r="AX103" s="184">
        <f t="shared" si="15"/>
        <v>0</v>
      </c>
      <c r="AY103" s="117">
        <f t="shared" si="11"/>
        <v>0</v>
      </c>
      <c r="AZ103" s="117"/>
    </row>
    <row r="104" spans="44:52" s="14" customFormat="1" ht="14">
      <c r="AR104" s="117" t="str">
        <f t="shared" si="9"/>
        <v/>
      </c>
      <c r="AS104" s="183">
        <f t="shared" si="12"/>
        <v>0</v>
      </c>
      <c r="AT104" s="183"/>
      <c r="AU104" s="183">
        <f t="shared" si="10"/>
        <v>0</v>
      </c>
      <c r="AV104" s="183">
        <f t="shared" si="13"/>
        <v>0</v>
      </c>
      <c r="AW104" s="117">
        <f t="shared" si="14"/>
        <v>0</v>
      </c>
      <c r="AX104" s="184">
        <f t="shared" si="15"/>
        <v>0</v>
      </c>
      <c r="AY104" s="117">
        <f t="shared" si="11"/>
        <v>0</v>
      </c>
      <c r="AZ104" s="117"/>
    </row>
    <row r="105" spans="44:52" s="14" customFormat="1" ht="14">
      <c r="AR105" s="117" t="str">
        <f t="shared" si="9"/>
        <v/>
      </c>
      <c r="AS105" s="183">
        <f t="shared" si="12"/>
        <v>0</v>
      </c>
      <c r="AT105" s="183"/>
      <c r="AU105" s="183">
        <f t="shared" si="10"/>
        <v>0</v>
      </c>
      <c r="AV105" s="183">
        <f t="shared" si="13"/>
        <v>0</v>
      </c>
      <c r="AW105" s="117">
        <f t="shared" si="14"/>
        <v>0</v>
      </c>
      <c r="AX105" s="184">
        <f t="shared" si="15"/>
        <v>0</v>
      </c>
      <c r="AY105" s="117">
        <f t="shared" si="11"/>
        <v>0</v>
      </c>
      <c r="AZ105" s="117"/>
    </row>
    <row r="106" spans="44:52" s="14" customFormat="1" ht="14">
      <c r="AR106" s="117" t="str">
        <f t="shared" si="9"/>
        <v/>
      </c>
      <c r="AS106" s="183">
        <f t="shared" si="12"/>
        <v>0</v>
      </c>
      <c r="AT106" s="183"/>
      <c r="AU106" s="183">
        <f t="shared" si="10"/>
        <v>0</v>
      </c>
      <c r="AV106" s="183">
        <f t="shared" si="13"/>
        <v>0</v>
      </c>
      <c r="AW106" s="117">
        <f t="shared" si="14"/>
        <v>0</v>
      </c>
      <c r="AX106" s="184">
        <f t="shared" si="15"/>
        <v>0</v>
      </c>
      <c r="AY106" s="117">
        <f t="shared" si="11"/>
        <v>0</v>
      </c>
      <c r="AZ106" s="117"/>
    </row>
    <row r="107" spans="44:52" s="14" customFormat="1" ht="14">
      <c r="AR107" s="117" t="str">
        <f t="shared" si="9"/>
        <v/>
      </c>
      <c r="AS107" s="183">
        <f t="shared" si="12"/>
        <v>0</v>
      </c>
      <c r="AT107" s="183"/>
      <c r="AU107" s="183">
        <f t="shared" si="10"/>
        <v>0</v>
      </c>
      <c r="AV107" s="183">
        <f t="shared" si="13"/>
        <v>0</v>
      </c>
      <c r="AW107" s="117">
        <f t="shared" si="14"/>
        <v>0</v>
      </c>
      <c r="AX107" s="184">
        <f t="shared" si="15"/>
        <v>0</v>
      </c>
      <c r="AY107" s="117">
        <f t="shared" si="11"/>
        <v>0</v>
      </c>
      <c r="AZ107" s="117"/>
    </row>
    <row r="108" spans="44:52" s="14" customFormat="1" ht="14">
      <c r="AR108" s="117" t="str">
        <f t="shared" si="9"/>
        <v/>
      </c>
      <c r="AS108" s="183">
        <f t="shared" si="12"/>
        <v>0</v>
      </c>
      <c r="AT108" s="183"/>
      <c r="AU108" s="183">
        <f t="shared" si="10"/>
        <v>0</v>
      </c>
      <c r="AV108" s="183">
        <f t="shared" si="13"/>
        <v>0</v>
      </c>
      <c r="AW108" s="117">
        <f t="shared" si="14"/>
        <v>0</v>
      </c>
      <c r="AX108" s="184">
        <f t="shared" si="15"/>
        <v>0</v>
      </c>
      <c r="AY108" s="117">
        <f t="shared" si="11"/>
        <v>0</v>
      </c>
      <c r="AZ108" s="117"/>
    </row>
    <row r="109" spans="44:52" s="14" customFormat="1" ht="14">
      <c r="AR109" s="117" t="str">
        <f t="shared" si="9"/>
        <v/>
      </c>
      <c r="AS109" s="183">
        <f t="shared" si="12"/>
        <v>0</v>
      </c>
      <c r="AT109" s="183"/>
      <c r="AU109" s="183">
        <f t="shared" si="10"/>
        <v>0</v>
      </c>
      <c r="AV109" s="183">
        <f t="shared" si="13"/>
        <v>0</v>
      </c>
      <c r="AW109" s="117">
        <f t="shared" si="14"/>
        <v>0</v>
      </c>
      <c r="AX109" s="184">
        <f t="shared" si="15"/>
        <v>0</v>
      </c>
      <c r="AY109" s="117">
        <f t="shared" si="11"/>
        <v>0</v>
      </c>
      <c r="AZ109" s="117"/>
    </row>
    <row r="110" spans="44:52" s="14" customFormat="1" ht="14">
      <c r="AR110" s="117" t="str">
        <f t="shared" si="9"/>
        <v/>
      </c>
      <c r="AS110" s="183">
        <f t="shared" si="12"/>
        <v>0</v>
      </c>
      <c r="AT110" s="183"/>
      <c r="AU110" s="183">
        <f t="shared" si="10"/>
        <v>0</v>
      </c>
      <c r="AV110" s="183">
        <f t="shared" si="13"/>
        <v>0</v>
      </c>
      <c r="AW110" s="117">
        <f t="shared" si="14"/>
        <v>0</v>
      </c>
      <c r="AX110" s="184">
        <f t="shared" si="15"/>
        <v>0</v>
      </c>
      <c r="AY110" s="117">
        <f t="shared" si="11"/>
        <v>0</v>
      </c>
      <c r="AZ110" s="117"/>
    </row>
    <row r="111" spans="44:52" s="14" customFormat="1" ht="14">
      <c r="AR111" s="117" t="str">
        <f t="shared" si="9"/>
        <v/>
      </c>
      <c r="AS111" s="183">
        <f t="shared" si="12"/>
        <v>0</v>
      </c>
      <c r="AT111" s="183"/>
      <c r="AU111" s="183">
        <f t="shared" si="10"/>
        <v>0</v>
      </c>
      <c r="AV111" s="183">
        <f t="shared" si="13"/>
        <v>0</v>
      </c>
      <c r="AW111" s="117">
        <f t="shared" si="14"/>
        <v>0</v>
      </c>
      <c r="AX111" s="184">
        <f t="shared" si="15"/>
        <v>0</v>
      </c>
      <c r="AY111" s="117">
        <f t="shared" si="11"/>
        <v>0</v>
      </c>
      <c r="AZ111" s="117"/>
    </row>
    <row r="112" spans="44:52" s="14" customFormat="1" ht="14">
      <c r="AR112" s="117" t="str">
        <f t="shared" si="9"/>
        <v/>
      </c>
      <c r="AS112" s="183">
        <f t="shared" si="12"/>
        <v>0</v>
      </c>
      <c r="AT112" s="183"/>
      <c r="AU112" s="183">
        <f t="shared" si="10"/>
        <v>0</v>
      </c>
      <c r="AV112" s="183">
        <f t="shared" si="13"/>
        <v>0</v>
      </c>
      <c r="AW112" s="117">
        <f t="shared" si="14"/>
        <v>0</v>
      </c>
      <c r="AX112" s="184">
        <f t="shared" si="15"/>
        <v>0</v>
      </c>
      <c r="AY112" s="117">
        <f t="shared" si="11"/>
        <v>0</v>
      </c>
      <c r="AZ112" s="117"/>
    </row>
    <row r="113" spans="44:52" s="14" customFormat="1" ht="14">
      <c r="AR113" s="117" t="str">
        <f t="shared" si="9"/>
        <v/>
      </c>
      <c r="AS113" s="183">
        <f t="shared" si="12"/>
        <v>0</v>
      </c>
      <c r="AT113" s="183"/>
      <c r="AU113" s="183">
        <f t="shared" si="10"/>
        <v>0</v>
      </c>
      <c r="AV113" s="183">
        <f t="shared" si="13"/>
        <v>0</v>
      </c>
      <c r="AW113" s="117">
        <f t="shared" si="14"/>
        <v>0</v>
      </c>
      <c r="AX113" s="184">
        <f t="shared" si="15"/>
        <v>0</v>
      </c>
      <c r="AY113" s="117">
        <f t="shared" si="11"/>
        <v>0</v>
      </c>
      <c r="AZ113" s="117"/>
    </row>
    <row r="114" spans="44:52" s="14" customFormat="1" ht="14">
      <c r="AZ114" s="117"/>
    </row>
    <row r="115" spans="44:52" s="14" customFormat="1" ht="14">
      <c r="AZ115" s="117"/>
    </row>
    <row r="116" spans="44:52" s="14" customFormat="1" ht="14">
      <c r="AZ116" s="117"/>
    </row>
    <row r="117" spans="44:52" s="14" customFormat="1" ht="14">
      <c r="AZ117" s="117"/>
    </row>
    <row r="118" spans="44:52" ht="14">
      <c r="AZ118"/>
    </row>
  </sheetData>
  <mergeCells count="59">
    <mergeCell ref="G37:Q37"/>
    <mergeCell ref="R37:T37"/>
    <mergeCell ref="B35:B37"/>
    <mergeCell ref="D35:F35"/>
    <mergeCell ref="H35:I35"/>
    <mergeCell ref="J35:N35"/>
    <mergeCell ref="O35:P35"/>
    <mergeCell ref="D36:F36"/>
    <mergeCell ref="H36:I36"/>
    <mergeCell ref="J36:N36"/>
    <mergeCell ref="O36:P36"/>
    <mergeCell ref="D37:F37"/>
    <mergeCell ref="B23:E26"/>
    <mergeCell ref="Q25:Q28"/>
    <mergeCell ref="R29:V29"/>
    <mergeCell ref="R30:V30"/>
    <mergeCell ref="F31:F33"/>
    <mergeCell ref="R31:V31"/>
    <mergeCell ref="F21:F24"/>
    <mergeCell ref="R21:S22"/>
    <mergeCell ref="U21:W22"/>
    <mergeCell ref="Q18:Q19"/>
    <mergeCell ref="T18:U18"/>
    <mergeCell ref="V18:W18"/>
    <mergeCell ref="T19:U19"/>
    <mergeCell ref="V19:W19"/>
    <mergeCell ref="C16:C17"/>
    <mergeCell ref="D16:D17"/>
    <mergeCell ref="F16:F17"/>
    <mergeCell ref="G16:G17"/>
    <mergeCell ref="S16:T16"/>
    <mergeCell ref="T10:U10"/>
    <mergeCell ref="T11:U11"/>
    <mergeCell ref="Q13:Q16"/>
    <mergeCell ref="T13:U13"/>
    <mergeCell ref="B14:B18"/>
    <mergeCell ref="C14:C15"/>
    <mergeCell ref="D14:D15"/>
    <mergeCell ref="F14:F15"/>
    <mergeCell ref="G14:G15"/>
    <mergeCell ref="T14:U14"/>
    <mergeCell ref="B7:B11"/>
    <mergeCell ref="Q8:Q11"/>
    <mergeCell ref="T8:U8"/>
    <mergeCell ref="C9:D9"/>
    <mergeCell ref="T9:U9"/>
    <mergeCell ref="T15:U15"/>
    <mergeCell ref="C6:D6"/>
    <mergeCell ref="I6:J6"/>
    <mergeCell ref="L6:M6"/>
    <mergeCell ref="T6:U6"/>
    <mergeCell ref="V6:W6"/>
    <mergeCell ref="S2:T3"/>
    <mergeCell ref="B4:D5"/>
    <mergeCell ref="F4:G5"/>
    <mergeCell ref="T4:U4"/>
    <mergeCell ref="V4:W4"/>
    <mergeCell ref="T5:U5"/>
    <mergeCell ref="V5:W5"/>
  </mergeCells>
  <hyperlinks>
    <hyperlink ref="G37" r:id="rId1" location="Grantstructure"/>
  </hyperlinks>
  <pageMargins left="0.7" right="0.7" top="0.75" bottom="0.75" header="0.3" footer="0.3"/>
  <pageSetup orientation="portrait"/>
  <drawing r:id="rId2"/>
  <legacyDrawing r:id="rId3"/>
  <extLst>
    <ext xmlns:x14="http://schemas.microsoft.com/office/spreadsheetml/2009/9/main" uri="{CCE6A557-97BC-4b89-ADB6-D9C93CAAB3DF}">
      <x14:dataValidations xmlns:xm="http://schemas.microsoft.com/office/excel/2006/main" count="37">
        <x14:dataValidation type="list" allowBlank="1" showInputMessage="1">
          <x14:formula1>
            <xm:f>Parameters!$C$7:$G$7</xm:f>
          </x14:formula1>
          <xm:sqref>D16:D17</xm:sqref>
        </x14:dataValidation>
        <x14:dataValidation type="list" allowBlank="1" showInputMessage="1">
          <x14:formula1>
            <xm:f>Parameters!$C$25:$G$25</xm:f>
          </x14:formula1>
          <xm:sqref>J14</xm:sqref>
        </x14:dataValidation>
        <x14:dataValidation type="list" allowBlank="1" showInputMessage="1">
          <x14:formula1>
            <xm:f>Parameters!$C$18:$G$18</xm:f>
          </x14:formula1>
          <xm:sqref>J15</xm:sqref>
        </x14:dataValidation>
        <x14:dataValidation type="list" allowBlank="1" showInputMessage="1">
          <x14:formula1>
            <xm:f>Parameters!$C$27:$G$27</xm:f>
          </x14:formula1>
          <xm:sqref>J11</xm:sqref>
        </x14:dataValidation>
        <x14:dataValidation type="list" allowBlank="1" showInputMessage="1">
          <x14:formula1>
            <xm:f>Parameters!$C$28:$G$28</xm:f>
          </x14:formula1>
          <xm:sqref>J9</xm:sqref>
        </x14:dataValidation>
        <x14:dataValidation type="list" allowBlank="1" showInputMessage="1">
          <x14:formula1>
            <xm:f>Parameters!$C$55:$G$55</xm:f>
          </x14:formula1>
          <xm:sqref>M15</xm:sqref>
        </x14:dataValidation>
        <x14:dataValidation type="list" allowBlank="1" showInputMessage="1">
          <x14:formula1>
            <xm:f>Parameters!$C$54:$G$54</xm:f>
          </x14:formula1>
          <xm:sqref>M14</xm:sqref>
        </x14:dataValidation>
        <x14:dataValidation type="list" allowBlank="1" showInputMessage="1">
          <x14:formula1>
            <xm:f>Parameters!$C$53:$G$53</xm:f>
          </x14:formula1>
          <xm:sqref>M13</xm:sqref>
        </x14:dataValidation>
        <x14:dataValidation type="list" allowBlank="1" showInputMessage="1">
          <x14:formula1>
            <xm:f>Parameters!$C$52:$G$52</xm:f>
          </x14:formula1>
          <xm:sqref>M12</xm:sqref>
        </x14:dataValidation>
        <x14:dataValidation type="list" allowBlank="1" showInputMessage="1">
          <x14:formula1>
            <xm:f>Parameters!$C$51:$G$51</xm:f>
          </x14:formula1>
          <xm:sqref>M11</xm:sqref>
        </x14:dataValidation>
        <x14:dataValidation type="list" allowBlank="1" showInputMessage="1">
          <x14:formula1>
            <xm:f>Parameters!$C$50:$G$50</xm:f>
          </x14:formula1>
          <xm:sqref>M10</xm:sqref>
        </x14:dataValidation>
        <x14:dataValidation type="list" allowBlank="1" showInputMessage="1">
          <x14:formula1>
            <xm:f>Parameters!$C$49:$G$49</xm:f>
          </x14:formula1>
          <xm:sqref>M9</xm:sqref>
        </x14:dataValidation>
        <x14:dataValidation type="list" allowBlank="1" showInputMessage="1">
          <x14:formula1>
            <xm:f>Parameters!$C$48:$G$48</xm:f>
          </x14:formula1>
          <xm:sqref>M8</xm:sqref>
        </x14:dataValidation>
        <x14:dataValidation type="list" allowBlank="1" showInputMessage="1">
          <x14:formula1>
            <xm:f>Parameters!$C$47:$G$47</xm:f>
          </x14:formula1>
          <xm:sqref>M7</xm:sqref>
        </x14:dataValidation>
        <x14:dataValidation type="list" allowBlank="1" showInputMessage="1">
          <x14:formula1>
            <xm:f>Parameters!$C$19:$G$19</xm:f>
          </x14:formula1>
          <xm:sqref>J8</xm:sqref>
        </x14:dataValidation>
        <x14:dataValidation type="list" allowBlank="1" showInputMessage="1">
          <x14:formula1>
            <xm:f>Parameters!$D$19:$H$19</xm:f>
          </x14:formula1>
          <xm:sqref>K10</xm:sqref>
        </x14:dataValidation>
        <x14:dataValidation type="list" allowBlank="1" showInputMessage="1">
          <x14:formula1>
            <xm:f>Parameters!$C$26:$G$26</xm:f>
          </x14:formula1>
          <xm:sqref>J7</xm:sqref>
        </x14:dataValidation>
        <x14:dataValidation type="list" allowBlank="1" showInputMessage="1">
          <x14:formula1>
            <xm:f>Parameters!$D$26:$F$26</xm:f>
          </x14:formula1>
          <xm:sqref>K7</xm:sqref>
        </x14:dataValidation>
        <x14:dataValidation type="list" allowBlank="1" showInputMessage="1">
          <x14:formula1>
            <xm:f>Parameters!$C$21:$G$21</xm:f>
          </x14:formula1>
          <xm:sqref>J10</xm:sqref>
        </x14:dataValidation>
        <x14:dataValidation type="list" allowBlank="1" showInputMessage="1">
          <x14:formula1>
            <xm:f>Parameters!$C$25:$G$25</xm:f>
          </x14:formula1>
          <xm:sqref>K15</xm:sqref>
        </x14:dataValidation>
        <x14:dataValidation type="list" allowBlank="1" showInputMessage="1">
          <x14:formula1>
            <xm:f>Parameters!$C$18:$G$18</xm:f>
          </x14:formula1>
          <xm:sqref>K14</xm:sqref>
        </x14:dataValidation>
        <x14:dataValidation type="list" allowBlank="1" showInputMessage="1">
          <x14:formula1>
            <xm:f>Parameters!$C$27:$G$27</xm:f>
          </x14:formula1>
          <xm:sqref>K9</xm:sqref>
        </x14:dataValidation>
        <x14:dataValidation type="list" allowBlank="1" showInputMessage="1">
          <x14:formula1>
            <xm:f>Parameters!$C$24:$G$24</xm:f>
          </x14:formula1>
          <xm:sqref>J16:K16</xm:sqref>
        </x14:dataValidation>
        <x14:dataValidation type="list" allowBlank="1" showInputMessage="1">
          <x14:formula1>
            <xm:f>Parameters!$C$20:$G$20</xm:f>
          </x14:formula1>
          <xm:sqref>J18:K18</xm:sqref>
        </x14:dataValidation>
        <x14:dataValidation type="list" allowBlank="1" showInputMessage="1">
          <x14:formula1>
            <xm:f>Parameters!$C$17:$G$17</xm:f>
          </x14:formula1>
          <xm:sqref>J17:K17</xm:sqref>
        </x14:dataValidation>
        <x14:dataValidation type="list" allowBlank="1" showInputMessage="1">
          <x14:formula1>
            <xm:f>Parameters!$C$10:$G$10</xm:f>
          </x14:formula1>
          <xm:sqref>D7</xm:sqref>
        </x14:dataValidation>
        <x14:dataValidation type="list" allowBlank="1" showInputMessage="1">
          <x14:formula1>
            <xm:f>Parameters!$C$4:$G$4</xm:f>
          </x14:formula1>
          <xm:sqref>D10</xm:sqref>
        </x14:dataValidation>
        <x14:dataValidation type="list" allowBlank="1" showInputMessage="1">
          <x14:formula1>
            <xm:f>Parameters!$C$5:$G$5</xm:f>
          </x14:formula1>
          <xm:sqref>D11</xm:sqref>
        </x14:dataValidation>
        <x14:dataValidation type="list" allowBlank="1" showInputMessage="1">
          <x14:formula1>
            <xm:f>Parameters!$C$6:$G$6</xm:f>
          </x14:formula1>
          <xm:sqref>D14</xm:sqref>
        </x14:dataValidation>
        <x14:dataValidation type="list" allowBlank="1" showInputMessage="1">
          <x14:formula1>
            <xm:f>Parameters!$C$11:$G$11</xm:f>
          </x14:formula1>
          <xm:sqref>G7</xm:sqref>
        </x14:dataValidation>
        <x14:dataValidation type="list" allowBlank="1" showInputMessage="1">
          <x14:formula1>
            <xm:f>Parameters!$C$12:$G$12</xm:f>
          </x14:formula1>
          <xm:sqref>G9</xm:sqref>
        </x14:dataValidation>
        <x14:dataValidation type="list" allowBlank="1" showInputMessage="1">
          <x14:formula1>
            <xm:f>Parameters!$C$38:$G$38</xm:f>
          </x14:formula1>
          <xm:sqref>G11</xm:sqref>
        </x14:dataValidation>
        <x14:dataValidation type="list" allowBlank="1" showInputMessage="1">
          <x14:formula1>
            <xm:f>Parameters!$C$37:$G$37</xm:f>
          </x14:formula1>
          <xm:sqref>G14</xm:sqref>
        </x14:dataValidation>
        <x14:dataValidation type="list" allowBlank="1" showInputMessage="1">
          <x14:formula1>
            <xm:f>Parameters!$C$34:$G$34</xm:f>
          </x14:formula1>
          <xm:sqref>G16</xm:sqref>
        </x14:dataValidation>
        <x14:dataValidation type="list" allowBlank="1" showInputMessage="1">
          <x14:formula1>
            <xm:f>Parameters!$C$36:$G$36</xm:f>
          </x14:formula1>
          <xm:sqref>G18</xm:sqref>
        </x14:dataValidation>
        <x14:dataValidation type="list" allowBlank="1" showInputMessage="1">
          <x14:formula1>
            <xm:f>Parameters!$C$13:$G$13</xm:f>
          </x14:formula1>
          <xm:sqref>G8</xm:sqref>
        </x14:dataValidation>
        <x14:dataValidation type="list" allowBlank="1" showInputMessage="1">
          <x14:formula1>
            <xm:f>Parameters!$C$14:$G$14</xm:f>
          </x14:formula1>
          <xm:sqref>G10</xm:sqref>
        </x14:dataValidation>
      </x14:dataValidation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8"/>
  <sheetViews>
    <sheetView topLeftCell="A4" workbookViewId="0">
      <selection activeCell="J17" sqref="J17"/>
    </sheetView>
  </sheetViews>
  <sheetFormatPr baseColWidth="10" defaultColWidth="8.83203125" defaultRowHeight="11" x14ac:dyDescent="0"/>
  <cols>
    <col min="1" max="1" width="1.5" style="1" customWidth="1"/>
    <col min="2" max="2" width="9.33203125" style="1" customWidth="1"/>
    <col min="3" max="3" width="14.5" style="1" customWidth="1"/>
    <col min="4" max="4" width="5.83203125" style="1" customWidth="1"/>
    <col min="5" max="5" width="1.83203125" style="1" customWidth="1"/>
    <col min="6" max="6" width="18" style="1" customWidth="1"/>
    <col min="7" max="7" width="13.5" style="1" customWidth="1"/>
    <col min="8" max="8" width="1.33203125" style="1" customWidth="1"/>
    <col min="9" max="9" width="16.33203125" style="1" customWidth="1"/>
    <col min="10" max="10" width="8.5" style="1" customWidth="1"/>
    <col min="11" max="11" width="1.6640625" style="1" customWidth="1"/>
    <col min="12" max="12" width="22.83203125" style="1" customWidth="1"/>
    <col min="13" max="13" width="8.5" style="1" customWidth="1"/>
    <col min="14" max="14" width="0.83203125" style="1" customWidth="1"/>
    <col min="15" max="15" width="2.83203125" style="1" customWidth="1"/>
    <col min="16" max="16" width="2.6640625" style="1" customWidth="1"/>
    <col min="17" max="17" width="15.5" style="1" customWidth="1"/>
    <col min="18" max="18" width="30.83203125" style="1" customWidth="1"/>
    <col min="19" max="19" width="23.5" style="1" customWidth="1"/>
    <col min="20" max="20" width="1" style="1" customWidth="1"/>
    <col min="21" max="21" width="24.33203125" style="1" customWidth="1"/>
    <col min="22" max="22" width="10.6640625" style="1" customWidth="1"/>
    <col min="23" max="23" width="12.5" style="1" customWidth="1"/>
    <col min="24" max="24" width="13.6640625" style="1" customWidth="1"/>
    <col min="25" max="25" width="12.83203125" style="1" customWidth="1"/>
    <col min="26" max="16384" width="8.83203125" style="1"/>
  </cols>
  <sheetData>
    <row r="1" spans="1:53" ht="6" customHeight="1" thickBot="1">
      <c r="A1" s="54"/>
      <c r="B1" s="14"/>
      <c r="C1" s="14"/>
      <c r="D1" s="14"/>
      <c r="E1" s="14"/>
      <c r="F1" s="14"/>
      <c r="G1" s="14"/>
      <c r="H1" s="14"/>
      <c r="I1" s="14"/>
      <c r="J1" s="14"/>
      <c r="K1" s="14"/>
      <c r="L1" s="14"/>
      <c r="M1" s="14"/>
      <c r="N1" s="14"/>
      <c r="O1" s="14"/>
      <c r="P1" s="14"/>
      <c r="Q1" s="14"/>
      <c r="R1" s="25"/>
      <c r="S1" s="14"/>
      <c r="T1" s="14"/>
      <c r="U1" s="14"/>
      <c r="V1" s="14"/>
      <c r="W1" s="14"/>
      <c r="X1" s="14"/>
      <c r="Y1" s="14"/>
      <c r="Z1" s="14"/>
      <c r="AA1" s="14"/>
      <c r="AB1" s="14"/>
      <c r="AC1" s="14"/>
      <c r="AD1" s="14"/>
      <c r="AE1" s="14"/>
      <c r="AF1" s="14"/>
      <c r="AG1" s="14"/>
      <c r="AH1" s="14"/>
      <c r="AI1" s="14"/>
      <c r="AJ1" s="14"/>
      <c r="AK1" s="14"/>
      <c r="AL1" s="14"/>
      <c r="AM1" s="14"/>
      <c r="AN1" s="14"/>
      <c r="AO1" s="14"/>
      <c r="AP1" s="14"/>
    </row>
    <row r="2" spans="1:53" ht="10.25" customHeight="1">
      <c r="A2" s="14"/>
      <c r="B2" s="14"/>
      <c r="C2" s="222"/>
      <c r="D2" s="17"/>
      <c r="E2" s="17"/>
      <c r="F2" s="17"/>
      <c r="G2" s="17"/>
      <c r="H2" s="17"/>
      <c r="I2" s="17"/>
      <c r="J2" s="54"/>
      <c r="K2" s="54"/>
      <c r="L2" s="54"/>
      <c r="M2" s="54"/>
      <c r="N2" s="14"/>
      <c r="O2" s="14"/>
      <c r="P2" s="14"/>
      <c r="Q2" s="14"/>
      <c r="S2" s="302" t="s">
        <v>233</v>
      </c>
      <c r="T2" s="303"/>
      <c r="U2" s="195"/>
      <c r="V2" s="195"/>
      <c r="W2" s="195"/>
      <c r="X2" s="14"/>
      <c r="Y2" s="14"/>
      <c r="Z2" s="14"/>
      <c r="AA2" s="14"/>
      <c r="AB2" s="14"/>
      <c r="AC2" s="14"/>
      <c r="AD2" s="14"/>
      <c r="AE2" s="14"/>
      <c r="AF2" s="14"/>
      <c r="AG2" s="14"/>
      <c r="AH2" s="14"/>
      <c r="AI2" s="14"/>
      <c r="AJ2" s="14"/>
      <c r="AK2" s="14"/>
      <c r="AL2" s="14"/>
      <c r="AM2" s="14"/>
      <c r="AN2" s="14"/>
      <c r="AO2" s="14"/>
      <c r="AP2" s="14"/>
      <c r="AR2" t="s">
        <v>133</v>
      </c>
      <c r="AS2" t="s">
        <v>134</v>
      </c>
      <c r="AT2" t="s">
        <v>135</v>
      </c>
      <c r="AU2" t="s">
        <v>136</v>
      </c>
      <c r="AV2" t="s">
        <v>137</v>
      </c>
      <c r="AW2" t="s">
        <v>138</v>
      </c>
      <c r="AX2" t="s">
        <v>139</v>
      </c>
      <c r="AY2" t="s">
        <v>168</v>
      </c>
      <c r="AZ2" t="s">
        <v>141</v>
      </c>
    </row>
    <row r="3" spans="1:53" ht="10.25" customHeight="1" thickBot="1">
      <c r="A3" s="14"/>
      <c r="B3" s="222"/>
      <c r="C3" s="222"/>
      <c r="D3" s="17"/>
      <c r="E3" s="17"/>
      <c r="F3" s="17"/>
      <c r="G3" s="17"/>
      <c r="H3" s="17"/>
      <c r="I3" s="17"/>
      <c r="J3" s="54"/>
      <c r="K3" s="54"/>
      <c r="L3" s="54"/>
      <c r="M3" s="54"/>
      <c r="N3" s="14"/>
      <c r="O3" s="14"/>
      <c r="P3" s="14"/>
      <c r="Q3" s="14"/>
      <c r="R3" s="195"/>
      <c r="S3" s="304"/>
      <c r="T3" s="305"/>
      <c r="U3" s="195"/>
      <c r="V3" s="195"/>
      <c r="W3" s="195"/>
      <c r="X3" s="14"/>
      <c r="Y3" s="14"/>
      <c r="Z3" s="14"/>
      <c r="AA3" s="14"/>
      <c r="AB3" s="14"/>
      <c r="AC3" s="14"/>
      <c r="AD3" s="14"/>
      <c r="AE3" s="14"/>
      <c r="AF3" s="14"/>
      <c r="AG3" s="14"/>
      <c r="AH3" s="14"/>
      <c r="AI3" s="14"/>
      <c r="AJ3" s="14"/>
      <c r="AK3" s="14"/>
      <c r="AL3" s="14"/>
      <c r="AM3" s="14"/>
      <c r="AN3" s="14"/>
      <c r="AO3" s="14"/>
      <c r="AP3" s="14"/>
      <c r="AR3"/>
      <c r="AS3"/>
      <c r="AT3"/>
      <c r="AU3"/>
      <c r="AV3"/>
      <c r="AW3"/>
      <c r="AX3"/>
      <c r="AY3"/>
      <c r="AZ3"/>
    </row>
    <row r="4" spans="1:53" ht="40.75" customHeight="1">
      <c r="A4" s="14"/>
      <c r="B4" s="317" t="s">
        <v>295</v>
      </c>
      <c r="C4" s="317"/>
      <c r="D4" s="317"/>
      <c r="E4" s="224"/>
      <c r="F4" s="313" t="s">
        <v>232</v>
      </c>
      <c r="G4" s="314"/>
      <c r="H4" s="17"/>
      <c r="I4" s="14"/>
      <c r="J4" s="14"/>
      <c r="K4" s="14"/>
      <c r="L4" s="14"/>
      <c r="M4" s="14"/>
      <c r="N4" s="77"/>
      <c r="O4" s="77"/>
      <c r="P4" s="77"/>
      <c r="Q4" s="189"/>
      <c r="R4" s="212" t="s">
        <v>213</v>
      </c>
      <c r="S4" s="212" t="s">
        <v>30</v>
      </c>
      <c r="T4" s="298" t="s">
        <v>214</v>
      </c>
      <c r="U4" s="298"/>
      <c r="V4" s="298" t="s">
        <v>215</v>
      </c>
      <c r="W4" s="299"/>
      <c r="X4" s="14"/>
      <c r="Y4" s="14"/>
      <c r="Z4" s="14"/>
      <c r="AA4" s="14"/>
      <c r="AB4" s="14"/>
      <c r="AC4" s="14"/>
      <c r="AD4" s="14"/>
      <c r="AE4" s="14"/>
      <c r="AF4" s="14"/>
      <c r="AG4" s="14"/>
      <c r="AH4" s="14"/>
      <c r="AI4" s="14"/>
      <c r="AJ4" s="14"/>
      <c r="AK4" s="14"/>
      <c r="AL4" s="14"/>
      <c r="AM4" s="14"/>
      <c r="AN4" s="14"/>
      <c r="AO4" s="14"/>
      <c r="AP4" s="14"/>
      <c r="AR4">
        <v>0</v>
      </c>
      <c r="AS4" s="85">
        <f>Q36</f>
        <v>288</v>
      </c>
      <c r="AT4" s="85">
        <f>(1-$D$11)*AS4</f>
        <v>216</v>
      </c>
      <c r="AU4" s="85"/>
      <c r="AV4"/>
      <c r="AW4">
        <f>IF(ISNUMBER(AR5),SUM(AT4:AU4),SUM(AT4:AV4))</f>
        <v>216</v>
      </c>
      <c r="AX4" s="86">
        <f t="shared" ref="AX4:AX30" si="0">LN(AW4+$J$36)-LN($J$36)</f>
        <v>0.56272869303125006</v>
      </c>
      <c r="AY4">
        <f>IF(ISNUMBER(AR4),AX4/(1+$D$7)^AR4,0)</f>
        <v>0.56272869303125006</v>
      </c>
      <c r="AZ4"/>
    </row>
    <row r="5" spans="1:53" ht="10.75" customHeight="1" thickBot="1">
      <c r="A5" s="14"/>
      <c r="B5" s="318"/>
      <c r="C5" s="318"/>
      <c r="D5" s="318"/>
      <c r="E5" s="223"/>
      <c r="F5" s="315"/>
      <c r="G5" s="316"/>
      <c r="H5" s="27"/>
      <c r="I5" s="27"/>
      <c r="J5" s="14"/>
      <c r="K5" s="14"/>
      <c r="L5" s="14"/>
      <c r="M5" s="14"/>
      <c r="N5" s="14"/>
      <c r="O5" s="14"/>
      <c r="P5" s="14"/>
      <c r="Q5" s="206" t="s">
        <v>236</v>
      </c>
      <c r="R5" s="205">
        <f>D36/(1+D7)^10</f>
        <v>0.1553200531458121</v>
      </c>
      <c r="S5" s="205">
        <f>R5*(1-1/(1+D7)^G16)/(1-1/(1+D7))</f>
        <v>1.2593072935578002</v>
      </c>
      <c r="T5" s="300">
        <f>S5*G7*G9*G18*G8/G36</f>
        <v>6.5608321782108844E-3</v>
      </c>
      <c r="U5" s="300"/>
      <c r="V5" s="300">
        <f>G14*G11</f>
        <v>0</v>
      </c>
      <c r="W5" s="301"/>
      <c r="X5" s="14"/>
      <c r="Y5" s="14"/>
      <c r="Z5" s="14"/>
      <c r="AA5" s="14"/>
      <c r="AB5" s="14"/>
      <c r="AC5" s="14"/>
      <c r="AD5" s="14"/>
      <c r="AE5" s="14"/>
      <c r="AF5" s="14"/>
      <c r="AG5" s="14"/>
      <c r="AH5" s="14"/>
      <c r="AI5" s="14"/>
      <c r="AJ5" s="14"/>
      <c r="AK5" s="14"/>
      <c r="AL5" s="14"/>
      <c r="AM5" s="14"/>
      <c r="AN5" s="14"/>
      <c r="AO5" s="14"/>
      <c r="AP5" s="14"/>
      <c r="AR5">
        <f t="shared" ref="AR5:AR68" si="1">IF(AR4&lt;$D$14,AR4+1,"")</f>
        <v>1</v>
      </c>
      <c r="AS5" s="85">
        <f>AS4-AT4</f>
        <v>72</v>
      </c>
      <c r="AT5" s="85"/>
      <c r="AU5" s="85">
        <f t="shared" ref="AU5:AU70" si="2">$D$10*AS5</f>
        <v>7.2</v>
      </c>
      <c r="AV5" s="85">
        <f>AS5</f>
        <v>72</v>
      </c>
      <c r="AW5">
        <f t="shared" ref="AW5:AW14" si="3">IF(ISNUMBER(AR6),SUM(AT5:AU5),SUM(AT5:AV5))</f>
        <v>7.2</v>
      </c>
      <c r="AX5" s="86">
        <f t="shared" si="0"/>
        <v>2.4870030074646721E-2</v>
      </c>
      <c r="AY5">
        <f t="shared" ref="AY5:AY70" si="4">IF(ISNUMBER(AR5),AX5/(1+$D$7)^AR5,0)</f>
        <v>2.3685742928234971E-2</v>
      </c>
      <c r="AZ5">
        <f>SUM(AY5:AY113)</f>
        <v>0.3637949199423417</v>
      </c>
      <c r="BA5" s="1">
        <f>SUM(AY5:AY23)</f>
        <v>0.3637949199423417</v>
      </c>
    </row>
    <row r="6" spans="1:53" ht="14">
      <c r="A6" s="14"/>
      <c r="B6" s="10"/>
      <c r="C6" s="311" t="s">
        <v>12</v>
      </c>
      <c r="D6" s="311"/>
      <c r="E6" s="49"/>
      <c r="F6" s="23" t="s">
        <v>13</v>
      </c>
      <c r="G6" s="24"/>
      <c r="H6" s="50"/>
      <c r="I6" s="311" t="s">
        <v>40</v>
      </c>
      <c r="J6" s="311"/>
      <c r="K6" s="159"/>
      <c r="L6" s="312" t="s">
        <v>210</v>
      </c>
      <c r="M6" s="312"/>
      <c r="N6" s="11"/>
      <c r="O6" s="6"/>
      <c r="P6" s="14"/>
      <c r="Q6" s="206" t="s">
        <v>237</v>
      </c>
      <c r="R6" s="205">
        <f>(M15*M11)/(1+D7)^10</f>
        <v>6.6302631382401996E-3</v>
      </c>
      <c r="S6" s="205">
        <f>R6*(1-1/(1+D7)^G16)/(1-1/(1+D7))</f>
        <v>5.3756991187447603E-2</v>
      </c>
      <c r="T6" s="300">
        <f>S6*M8*M9*M14*(W36/V36)</f>
        <v>2.1538147072383906E-4</v>
      </c>
      <c r="U6" s="300"/>
      <c r="V6" s="300">
        <v>0</v>
      </c>
      <c r="W6" s="301"/>
      <c r="X6" s="14"/>
      <c r="Y6" s="14"/>
      <c r="Z6" s="14"/>
      <c r="AA6" s="14"/>
      <c r="AB6" s="14"/>
      <c r="AC6" s="14"/>
      <c r="AD6" s="14"/>
      <c r="AE6" s="14"/>
      <c r="AF6" s="14"/>
      <c r="AG6" s="14"/>
      <c r="AH6" s="14"/>
      <c r="AI6" s="14"/>
      <c r="AJ6" s="14"/>
      <c r="AK6" s="14"/>
      <c r="AL6" s="14"/>
      <c r="AM6" s="14"/>
      <c r="AN6" s="14"/>
      <c r="AO6" s="14"/>
      <c r="AP6" s="14"/>
      <c r="AR6">
        <f t="shared" si="1"/>
        <v>2</v>
      </c>
      <c r="AS6" s="85">
        <f t="shared" ref="AS6:AS71" si="5">IF(ISNUMBER(AR6),AV5,0)</f>
        <v>72</v>
      </c>
      <c r="AT6" s="85"/>
      <c r="AU6" s="85">
        <f t="shared" si="2"/>
        <v>7.2</v>
      </c>
      <c r="AV6" s="85">
        <f t="shared" ref="AV6:AV71" si="6">AS6</f>
        <v>72</v>
      </c>
      <c r="AW6">
        <f t="shared" si="3"/>
        <v>7.2</v>
      </c>
      <c r="AX6" s="86">
        <f t="shared" si="0"/>
        <v>2.4870030074646721E-2</v>
      </c>
      <c r="AY6">
        <f t="shared" si="4"/>
        <v>2.255785040784283E-2</v>
      </c>
      <c r="AZ6"/>
    </row>
    <row r="7" spans="1:53" ht="20.5" customHeight="1">
      <c r="A7" s="14"/>
      <c r="B7" s="306" t="s">
        <v>47</v>
      </c>
      <c r="C7" s="139" t="s">
        <v>0</v>
      </c>
      <c r="D7" s="179">
        <v>0.05</v>
      </c>
      <c r="E7" s="2"/>
      <c r="F7" s="174" t="s">
        <v>4</v>
      </c>
      <c r="G7" s="175">
        <v>0.30254930254930251</v>
      </c>
      <c r="H7" s="4"/>
      <c r="I7" s="174" t="s">
        <v>8</v>
      </c>
      <c r="J7" s="175">
        <v>3.0536859556673325E-2</v>
      </c>
      <c r="K7" s="160"/>
      <c r="L7" s="174" t="s">
        <v>217</v>
      </c>
      <c r="M7" s="180">
        <v>0.1</v>
      </c>
      <c r="N7" s="12"/>
      <c r="O7" s="6"/>
      <c r="P7" s="14"/>
      <c r="Q7" s="15"/>
      <c r="R7" s="6"/>
      <c r="S7" s="6"/>
      <c r="T7" s="6"/>
      <c r="U7" s="164"/>
      <c r="V7" s="6"/>
      <c r="W7" s="12"/>
      <c r="X7" s="14"/>
      <c r="Y7" s="14"/>
      <c r="Z7" s="14"/>
      <c r="AA7" s="14"/>
      <c r="AB7" s="14"/>
      <c r="AC7" s="14"/>
      <c r="AD7" s="14"/>
      <c r="AE7" s="14"/>
      <c r="AF7" s="14"/>
      <c r="AG7" s="14"/>
      <c r="AH7" s="14"/>
      <c r="AI7" s="14"/>
      <c r="AJ7" s="14"/>
      <c r="AK7" s="14"/>
      <c r="AL7" s="14"/>
      <c r="AM7" s="14"/>
      <c r="AN7" s="14"/>
      <c r="AO7" s="14"/>
      <c r="AP7" s="14"/>
      <c r="AR7">
        <f t="shared" si="1"/>
        <v>3</v>
      </c>
      <c r="AS7" s="85">
        <f>IF(ISNUMBER(AR7),AV6,0)</f>
        <v>72</v>
      </c>
      <c r="AT7" s="85"/>
      <c r="AU7" s="85">
        <f t="shared" si="2"/>
        <v>7.2</v>
      </c>
      <c r="AV7" s="85">
        <f t="shared" si="6"/>
        <v>72</v>
      </c>
      <c r="AW7">
        <f t="shared" si="3"/>
        <v>7.2</v>
      </c>
      <c r="AX7" s="86">
        <f t="shared" si="0"/>
        <v>2.4870030074646721E-2</v>
      </c>
      <c r="AY7">
        <f t="shared" si="4"/>
        <v>2.1483667055088407E-2</v>
      </c>
      <c r="AZ7"/>
    </row>
    <row r="8" spans="1:53" ht="20.5" customHeight="1">
      <c r="A8" s="14"/>
      <c r="B8" s="306"/>
      <c r="C8" s="127"/>
      <c r="D8" s="127"/>
      <c r="E8" s="51"/>
      <c r="F8" s="178" t="s">
        <v>6</v>
      </c>
      <c r="G8" s="13">
        <v>0.5</v>
      </c>
      <c r="H8" s="5"/>
      <c r="I8" s="153" t="s">
        <v>9</v>
      </c>
      <c r="J8" s="154">
        <v>9.2174387700588528E-2</v>
      </c>
      <c r="K8" s="161"/>
      <c r="L8" s="153" t="s">
        <v>211</v>
      </c>
      <c r="M8" s="154">
        <v>0.6</v>
      </c>
      <c r="N8" s="12"/>
      <c r="O8" s="6"/>
      <c r="P8" s="14"/>
      <c r="Q8" s="309" t="s">
        <v>238</v>
      </c>
      <c r="R8" s="6"/>
      <c r="S8" s="207" t="s">
        <v>31</v>
      </c>
      <c r="T8" s="319" t="s">
        <v>34</v>
      </c>
      <c r="U8" s="319"/>
      <c r="V8" s="97"/>
      <c r="W8" s="12"/>
      <c r="X8" s="14"/>
      <c r="Y8" s="14"/>
      <c r="Z8" s="14"/>
      <c r="AA8" s="14"/>
      <c r="AB8" s="14"/>
      <c r="AC8" s="14"/>
      <c r="AD8" s="14"/>
      <c r="AE8" s="14"/>
      <c r="AF8" s="14"/>
      <c r="AG8" s="14"/>
      <c r="AH8" s="14"/>
      <c r="AI8" s="14"/>
      <c r="AJ8" s="14"/>
      <c r="AK8" s="14"/>
      <c r="AL8" s="14"/>
      <c r="AM8" s="14"/>
      <c r="AN8" s="14"/>
      <c r="AO8" s="14"/>
      <c r="AP8" s="14"/>
      <c r="AR8">
        <f t="shared" si="1"/>
        <v>4</v>
      </c>
      <c r="AS8" s="85">
        <f t="shared" si="5"/>
        <v>72</v>
      </c>
      <c r="AT8" s="85"/>
      <c r="AU8" s="85">
        <f t="shared" si="2"/>
        <v>7.2</v>
      </c>
      <c r="AV8" s="85">
        <f t="shared" si="6"/>
        <v>72</v>
      </c>
      <c r="AW8">
        <f t="shared" si="3"/>
        <v>7.2</v>
      </c>
      <c r="AX8" s="86">
        <f t="shared" si="0"/>
        <v>2.4870030074646721E-2</v>
      </c>
      <c r="AY8">
        <f t="shared" si="4"/>
        <v>2.046063529056039E-2</v>
      </c>
      <c r="AZ8"/>
    </row>
    <row r="9" spans="1:53" ht="33">
      <c r="A9" s="14"/>
      <c r="B9" s="306"/>
      <c r="C9" s="307" t="s">
        <v>14</v>
      </c>
      <c r="D9" s="307"/>
      <c r="E9" s="2"/>
      <c r="F9" s="153" t="s">
        <v>177</v>
      </c>
      <c r="G9" s="154">
        <v>0.5</v>
      </c>
      <c r="H9" s="5"/>
      <c r="I9" s="153" t="s">
        <v>204</v>
      </c>
      <c r="J9" s="154">
        <v>1</v>
      </c>
      <c r="K9" s="161"/>
      <c r="L9" s="153" t="s">
        <v>212</v>
      </c>
      <c r="M9" s="154">
        <v>0.7</v>
      </c>
      <c r="N9" s="12"/>
      <c r="O9" s="6"/>
      <c r="P9" s="14"/>
      <c r="Q9" s="309"/>
      <c r="R9" s="21" t="s">
        <v>46</v>
      </c>
      <c r="S9" s="125">
        <f>($V$5+$T$5*J14)*J7*J11</f>
        <v>1.6027776864074313E-4</v>
      </c>
      <c r="T9" s="308">
        <f>J12*S9/(J16/J9)</f>
        <v>3.5261109100963496E-4</v>
      </c>
      <c r="U9" s="308"/>
      <c r="V9" s="99"/>
      <c r="W9" s="12"/>
      <c r="X9" s="14"/>
      <c r="Y9" s="14"/>
      <c r="Z9" s="14"/>
      <c r="AA9" s="14"/>
      <c r="AB9" s="14"/>
      <c r="AC9" s="14"/>
      <c r="AD9" s="14"/>
      <c r="AE9" s="14"/>
      <c r="AF9" s="14"/>
      <c r="AG9" s="14"/>
      <c r="AH9" s="14"/>
      <c r="AI9" s="14"/>
      <c r="AJ9" s="14"/>
      <c r="AK9" s="14"/>
      <c r="AL9" s="14"/>
      <c r="AM9" s="14"/>
      <c r="AN9" s="14"/>
      <c r="AO9" s="14"/>
      <c r="AP9" s="14"/>
      <c r="AR9">
        <f t="shared" si="1"/>
        <v>5</v>
      </c>
      <c r="AS9" s="85">
        <f t="shared" si="5"/>
        <v>72</v>
      </c>
      <c r="AT9" s="85"/>
      <c r="AU9" s="85">
        <f t="shared" si="2"/>
        <v>7.2</v>
      </c>
      <c r="AV9" s="85">
        <f t="shared" si="6"/>
        <v>72</v>
      </c>
      <c r="AW9">
        <f>IF(ISNUMBER(AR10),SUM(AT9:AU9),SUM(AT9:AV9))</f>
        <v>7.2</v>
      </c>
      <c r="AX9" s="86">
        <f t="shared" si="0"/>
        <v>2.4870030074646721E-2</v>
      </c>
      <c r="AY9">
        <f t="shared" si="4"/>
        <v>1.9486319324343228E-2</v>
      </c>
      <c r="AZ9"/>
    </row>
    <row r="10" spans="1:53" ht="26.5" customHeight="1">
      <c r="A10" s="14"/>
      <c r="B10" s="306"/>
      <c r="C10" s="121" t="s">
        <v>3</v>
      </c>
      <c r="D10" s="122">
        <v>0.1</v>
      </c>
      <c r="E10" s="112"/>
      <c r="F10" s="126" t="s">
        <v>176</v>
      </c>
      <c r="G10" s="140">
        <v>2.4E-2</v>
      </c>
      <c r="H10" s="113"/>
      <c r="I10" s="153" t="s">
        <v>205</v>
      </c>
      <c r="J10" s="154">
        <v>0.8</v>
      </c>
      <c r="K10" s="161"/>
      <c r="L10" s="153" t="s">
        <v>227</v>
      </c>
      <c r="M10" s="154">
        <v>1</v>
      </c>
      <c r="N10" s="12"/>
      <c r="O10" s="6"/>
      <c r="P10" s="14"/>
      <c r="Q10" s="309"/>
      <c r="R10" s="21" t="s">
        <v>45</v>
      </c>
      <c r="S10" s="210">
        <f>($V$5+$T$5*J15)*J8*J18</f>
        <v>5.4426661994961612E-4</v>
      </c>
      <c r="T10" s="308">
        <f>S10/(J17/J10)</f>
        <v>3.5399454956072597E-4</v>
      </c>
      <c r="U10" s="308"/>
      <c r="V10" s="99"/>
      <c r="W10" s="12"/>
      <c r="X10" s="14"/>
      <c r="Y10" s="14"/>
      <c r="Z10" s="14"/>
      <c r="AA10" s="14"/>
      <c r="AB10" s="14"/>
      <c r="AC10" s="14"/>
      <c r="AD10" s="14"/>
      <c r="AE10" s="14"/>
      <c r="AF10" s="14"/>
      <c r="AG10" s="14"/>
      <c r="AH10" s="14"/>
      <c r="AI10" s="14"/>
      <c r="AJ10" s="14"/>
      <c r="AK10" s="14"/>
      <c r="AL10" s="14"/>
      <c r="AM10" s="14"/>
      <c r="AN10" s="14"/>
      <c r="AO10" s="14"/>
      <c r="AP10" s="14"/>
      <c r="AR10">
        <f t="shared" si="1"/>
        <v>6</v>
      </c>
      <c r="AS10" s="85">
        <f>IF(ISNUMBER(AR10),AV9,0)</f>
        <v>72</v>
      </c>
      <c r="AT10" s="85"/>
      <c r="AU10" s="85">
        <f t="shared" si="2"/>
        <v>7.2</v>
      </c>
      <c r="AV10" s="85">
        <f t="shared" si="6"/>
        <v>72</v>
      </c>
      <c r="AW10">
        <f>IF(ISNUMBER(AR11),SUM(AT10:AU10),SUM(AT10:AV10))</f>
        <v>7.2</v>
      </c>
      <c r="AX10" s="86">
        <f t="shared" si="0"/>
        <v>2.4870030074646721E-2</v>
      </c>
      <c r="AY10">
        <f t="shared" si="4"/>
        <v>1.8558399356517361E-2</v>
      </c>
      <c r="AZ10"/>
    </row>
    <row r="11" spans="1:53" ht="33" customHeight="1">
      <c r="A11" s="14"/>
      <c r="B11" s="306"/>
      <c r="C11" s="134" t="s">
        <v>5</v>
      </c>
      <c r="D11" s="135">
        <v>0.25</v>
      </c>
      <c r="E11" s="3"/>
      <c r="F11" s="153" t="s">
        <v>186</v>
      </c>
      <c r="G11" s="136">
        <v>3</v>
      </c>
      <c r="H11" s="6"/>
      <c r="I11" s="153" t="s">
        <v>107</v>
      </c>
      <c r="J11" s="154">
        <v>0.8</v>
      </c>
      <c r="K11" s="161"/>
      <c r="L11" s="153" t="s">
        <v>226</v>
      </c>
      <c r="M11" s="154">
        <v>0.4</v>
      </c>
      <c r="N11" s="12"/>
      <c r="O11" s="14"/>
      <c r="P11" s="14"/>
      <c r="Q11" s="309"/>
      <c r="R11" s="21" t="s">
        <v>216</v>
      </c>
      <c r="S11" s="210">
        <f>T6*M12</f>
        <v>1.4215177067773379E-4</v>
      </c>
      <c r="T11" s="310">
        <f>M13*S11/(M7/M10)</f>
        <v>3.5537942669433445E-4</v>
      </c>
      <c r="U11" s="308"/>
      <c r="V11" s="99"/>
      <c r="W11" s="12"/>
      <c r="X11" s="14"/>
      <c r="Y11" s="14"/>
      <c r="Z11" s="14"/>
      <c r="AA11" s="14"/>
      <c r="AB11" s="14"/>
      <c r="AC11" s="14"/>
      <c r="AD11" s="14"/>
      <c r="AE11" s="14"/>
      <c r="AF11" s="14"/>
      <c r="AG11" s="14"/>
      <c r="AH11" s="14"/>
      <c r="AI11" s="14"/>
      <c r="AJ11" s="14"/>
      <c r="AK11" s="14"/>
      <c r="AL11" s="14"/>
      <c r="AM11" s="14"/>
      <c r="AN11" s="14"/>
      <c r="AO11" s="14"/>
      <c r="AP11" s="14"/>
      <c r="AR11">
        <f t="shared" si="1"/>
        <v>7</v>
      </c>
      <c r="AS11" s="85">
        <f>IF(ISNUMBER(AR11),AV10,0)</f>
        <v>72</v>
      </c>
      <c r="AT11" s="85"/>
      <c r="AU11" s="85">
        <f t="shared" si="2"/>
        <v>7.2</v>
      </c>
      <c r="AV11" s="85">
        <f t="shared" si="6"/>
        <v>72</v>
      </c>
      <c r="AW11">
        <f>IF(ISNUMBER(AR12),SUM(AT11:AU11),SUM(AT11:AV11))</f>
        <v>7.2</v>
      </c>
      <c r="AX11" s="86">
        <f t="shared" si="0"/>
        <v>2.4870030074646721E-2</v>
      </c>
      <c r="AY11">
        <f t="shared" si="4"/>
        <v>1.7674666053826057E-2</v>
      </c>
      <c r="AZ11"/>
    </row>
    <row r="12" spans="1:53" ht="23.5" customHeight="1">
      <c r="A12" s="14"/>
      <c r="B12" s="15"/>
      <c r="C12" s="9"/>
      <c r="D12" s="8"/>
      <c r="E12" s="2"/>
      <c r="F12" s="52"/>
      <c r="G12" s="53"/>
      <c r="H12" s="9"/>
      <c r="I12" s="153" t="s">
        <v>330</v>
      </c>
      <c r="J12" s="154">
        <v>0.66</v>
      </c>
      <c r="K12" s="6"/>
      <c r="L12" s="153" t="s">
        <v>219</v>
      </c>
      <c r="M12" s="154">
        <v>0.66</v>
      </c>
      <c r="N12" s="12"/>
      <c r="O12" s="6"/>
      <c r="P12" s="14"/>
      <c r="Q12" s="123"/>
      <c r="R12" s="21"/>
      <c r="S12" s="124"/>
      <c r="T12" s="99"/>
      <c r="U12" s="99"/>
      <c r="V12" s="99"/>
      <c r="W12" s="12"/>
      <c r="X12" s="14"/>
      <c r="Y12" s="14"/>
      <c r="Z12" s="14"/>
      <c r="AA12" s="14"/>
      <c r="AB12" s="14"/>
      <c r="AC12" s="14"/>
      <c r="AD12" s="14"/>
      <c r="AE12" s="14"/>
      <c r="AF12" s="14"/>
      <c r="AG12" s="14"/>
      <c r="AH12" s="14"/>
      <c r="AI12" s="14"/>
      <c r="AJ12" s="14"/>
      <c r="AK12" s="14"/>
      <c r="AL12" s="14"/>
      <c r="AM12" s="14"/>
      <c r="AN12" s="14"/>
      <c r="AO12" s="14"/>
      <c r="AP12" s="14"/>
      <c r="AR12">
        <f t="shared" si="1"/>
        <v>8</v>
      </c>
      <c r="AS12" s="85">
        <f>IF(ISNUMBER(AR12),AV11,0)</f>
        <v>72</v>
      </c>
      <c r="AT12" s="85"/>
      <c r="AU12" s="85">
        <f t="shared" si="2"/>
        <v>7.2</v>
      </c>
      <c r="AV12" s="85">
        <f t="shared" si="6"/>
        <v>72</v>
      </c>
      <c r="AW12">
        <f>IF(ISNUMBER(AR13),SUM(AT12:AU12),SUM(AT12:AV12))</f>
        <v>7.2</v>
      </c>
      <c r="AX12" s="86">
        <f t="shared" si="0"/>
        <v>2.4870030074646721E-2</v>
      </c>
      <c r="AY12">
        <f t="shared" si="4"/>
        <v>1.6833015289358148E-2</v>
      </c>
      <c r="AZ12"/>
    </row>
    <row r="13" spans="1:53" ht="24" customHeight="1">
      <c r="A13" s="14"/>
      <c r="B13" s="15"/>
      <c r="C13" s="9"/>
      <c r="D13" s="8"/>
      <c r="E13" s="2"/>
      <c r="F13" s="52"/>
      <c r="G13" s="53"/>
      <c r="H13" s="6"/>
      <c r="I13" s="9"/>
      <c r="J13" s="8"/>
      <c r="K13" s="6"/>
      <c r="L13" s="153" t="s">
        <v>218</v>
      </c>
      <c r="M13" s="154">
        <v>0.25</v>
      </c>
      <c r="N13" s="12"/>
      <c r="O13" s="6"/>
      <c r="P13" s="14"/>
      <c r="Q13" s="309" t="s">
        <v>239</v>
      </c>
      <c r="R13" s="48"/>
      <c r="S13" s="207" t="s">
        <v>173</v>
      </c>
      <c r="T13" s="319" t="s">
        <v>174</v>
      </c>
      <c r="U13" s="319"/>
      <c r="V13" s="207" t="s">
        <v>175</v>
      </c>
      <c r="W13" s="209" t="s">
        <v>184</v>
      </c>
      <c r="X13" s="14"/>
      <c r="Y13" s="14"/>
      <c r="Z13" s="14"/>
      <c r="AA13" s="14"/>
      <c r="AB13" s="14"/>
      <c r="AC13" s="14"/>
      <c r="AD13" s="14"/>
      <c r="AE13" s="14"/>
      <c r="AF13" s="14"/>
      <c r="AG13" s="14"/>
      <c r="AH13" s="14"/>
      <c r="AI13" s="14"/>
      <c r="AJ13" s="14"/>
      <c r="AK13" s="14"/>
      <c r="AL13" s="14"/>
      <c r="AM13" s="14"/>
      <c r="AN13" s="14"/>
      <c r="AO13" s="14"/>
      <c r="AP13" s="14"/>
      <c r="AR13">
        <f t="shared" si="1"/>
        <v>9</v>
      </c>
      <c r="AS13" s="85">
        <f>IF(ISNUMBER(AR13),AV12,0)</f>
        <v>72</v>
      </c>
      <c r="AT13" s="85"/>
      <c r="AU13" s="85">
        <f t="shared" si="2"/>
        <v>7.2</v>
      </c>
      <c r="AV13" s="85">
        <f t="shared" si="6"/>
        <v>72</v>
      </c>
      <c r="AW13">
        <f t="shared" si="3"/>
        <v>7.2</v>
      </c>
      <c r="AX13" s="86">
        <f t="shared" si="0"/>
        <v>2.4870030074646721E-2</v>
      </c>
      <c r="AY13">
        <f t="shared" si="4"/>
        <v>1.6031443132722048E-2</v>
      </c>
      <c r="AZ13"/>
    </row>
    <row r="14" spans="1:53" ht="21" customHeight="1">
      <c r="A14" s="14"/>
      <c r="B14" s="357" t="s">
        <v>296</v>
      </c>
      <c r="C14" s="358" t="s">
        <v>1</v>
      </c>
      <c r="D14" s="359">
        <v>15</v>
      </c>
      <c r="E14" s="3"/>
      <c r="F14" s="358" t="s">
        <v>2</v>
      </c>
      <c r="G14" s="359">
        <v>0</v>
      </c>
      <c r="H14" s="6"/>
      <c r="I14" s="128" t="s">
        <v>11</v>
      </c>
      <c r="J14" s="129">
        <v>1</v>
      </c>
      <c r="K14" s="162"/>
      <c r="L14" s="153" t="s">
        <v>220</v>
      </c>
      <c r="M14" s="154">
        <v>0.33200000000000002</v>
      </c>
      <c r="N14" s="12"/>
      <c r="O14" s="6"/>
      <c r="P14" s="14"/>
      <c r="Q14" s="309"/>
      <c r="R14" s="21" t="s">
        <v>46</v>
      </c>
      <c r="S14" s="210">
        <f>(1000/(J16/J9))*J14*J12*J11*G9*G10*G7*J7*G8*G18*(1/G36)</f>
        <v>6.7200962207742618E-3</v>
      </c>
      <c r="T14" s="325">
        <f>(((1000/(J16/J9))*G14)/U36)*J7*J11</f>
        <v>0</v>
      </c>
      <c r="U14" s="325"/>
      <c r="V14" s="210">
        <f>S14+T14</f>
        <v>6.7200962207742618E-3</v>
      </c>
      <c r="W14" s="192">
        <f>1000/V14</f>
        <v>148807.39310080654</v>
      </c>
      <c r="X14" s="14"/>
      <c r="Y14" s="14"/>
      <c r="Z14" s="14"/>
      <c r="AA14" s="14"/>
      <c r="AB14" s="14"/>
      <c r="AC14" s="14"/>
      <c r="AD14" s="14"/>
      <c r="AE14" s="14"/>
      <c r="AF14" s="14"/>
      <c r="AG14" s="14"/>
      <c r="AH14" s="14"/>
      <c r="AI14" s="14"/>
      <c r="AJ14" s="14"/>
      <c r="AK14" s="14"/>
      <c r="AL14" s="14"/>
      <c r="AM14" s="14"/>
      <c r="AN14" s="14"/>
      <c r="AO14" s="14"/>
      <c r="AP14" s="14"/>
      <c r="AR14">
        <f t="shared" si="1"/>
        <v>10</v>
      </c>
      <c r="AS14" s="85">
        <f t="shared" si="5"/>
        <v>72</v>
      </c>
      <c r="AT14" s="85"/>
      <c r="AU14" s="85">
        <f t="shared" si="2"/>
        <v>7.2</v>
      </c>
      <c r="AV14" s="85">
        <f t="shared" si="6"/>
        <v>72</v>
      </c>
      <c r="AW14">
        <f t="shared" si="3"/>
        <v>7.2</v>
      </c>
      <c r="AX14" s="86">
        <f t="shared" si="0"/>
        <v>2.4870030074646721E-2</v>
      </c>
      <c r="AY14">
        <f t="shared" si="4"/>
        <v>1.5268041078782902E-2</v>
      </c>
      <c r="AZ14"/>
    </row>
    <row r="15" spans="1:53" ht="21" customHeight="1">
      <c r="A15" s="14"/>
      <c r="B15" s="357"/>
      <c r="C15" s="354"/>
      <c r="D15" s="359"/>
      <c r="E15" s="3"/>
      <c r="F15" s="354"/>
      <c r="G15" s="363"/>
      <c r="H15" s="6"/>
      <c r="I15" s="137" t="s">
        <v>10</v>
      </c>
      <c r="J15" s="138">
        <v>0.9</v>
      </c>
      <c r="K15" s="162"/>
      <c r="L15" s="176" t="s">
        <v>224</v>
      </c>
      <c r="M15" s="177">
        <v>2.6999999999999996E-2</v>
      </c>
      <c r="N15" s="12"/>
      <c r="O15" s="6"/>
      <c r="P15" s="14"/>
      <c r="Q15" s="309"/>
      <c r="R15" s="21" t="s">
        <v>45</v>
      </c>
      <c r="S15" s="191">
        <f>(1000/(J17/J10))*J15*J8*G10*G7*G8*J18*G9*G18*(1/G36)</f>
        <v>6.746462307428442E-3</v>
      </c>
      <c r="T15" s="326">
        <f>(((1000/(J17/J10))*G14)/U36)*J18*J8</f>
        <v>0</v>
      </c>
      <c r="U15" s="326"/>
      <c r="V15" s="210">
        <f>S15+T15</f>
        <v>6.746462307428442E-3</v>
      </c>
      <c r="W15" s="192">
        <f>1000/V15</f>
        <v>148225.83369344746</v>
      </c>
      <c r="X15" s="14"/>
      <c r="Y15" s="14"/>
      <c r="Z15" s="14"/>
      <c r="AA15" s="14"/>
      <c r="AB15" s="14"/>
      <c r="AC15" s="14"/>
      <c r="AD15" s="14"/>
      <c r="AE15" s="14"/>
      <c r="AF15" s="14"/>
      <c r="AG15" s="14"/>
      <c r="AH15" s="14"/>
      <c r="AI15" s="14"/>
      <c r="AJ15" s="14"/>
      <c r="AK15" s="14"/>
      <c r="AL15" s="14"/>
      <c r="AM15" s="14"/>
      <c r="AN15" s="14"/>
      <c r="AO15" s="14"/>
      <c r="AP15" s="14"/>
      <c r="AR15">
        <f t="shared" si="1"/>
        <v>11</v>
      </c>
      <c r="AS15" s="85">
        <f t="shared" si="5"/>
        <v>72</v>
      </c>
      <c r="AT15" s="85"/>
      <c r="AU15" s="85">
        <f t="shared" si="2"/>
        <v>7.2</v>
      </c>
      <c r="AV15" s="85">
        <f t="shared" si="6"/>
        <v>72</v>
      </c>
      <c r="AW15">
        <f>IF(ISNUMBER(AR16),SUM(AT15:AU15),SUM(AT15:AV15))</f>
        <v>7.2</v>
      </c>
      <c r="AX15" s="86">
        <f t="shared" si="0"/>
        <v>2.4870030074646721E-2</v>
      </c>
      <c r="AY15">
        <f t="shared" si="4"/>
        <v>1.4540991503602762E-2</v>
      </c>
      <c r="AZ15"/>
    </row>
    <row r="16" spans="1:53" ht="21" customHeight="1">
      <c r="A16" s="14"/>
      <c r="B16" s="357"/>
      <c r="C16" s="353" t="s">
        <v>19</v>
      </c>
      <c r="D16" s="360">
        <v>0.80400000000000005</v>
      </c>
      <c r="E16" s="3"/>
      <c r="F16" s="353" t="s">
        <v>303</v>
      </c>
      <c r="G16" s="355">
        <v>10</v>
      </c>
      <c r="H16" s="6"/>
      <c r="I16" s="132" t="s">
        <v>28</v>
      </c>
      <c r="J16" s="130">
        <v>0.3</v>
      </c>
      <c r="K16" s="163"/>
      <c r="L16" s="6"/>
      <c r="M16" s="6"/>
      <c r="N16" s="12"/>
      <c r="O16" s="6"/>
      <c r="P16" s="14"/>
      <c r="Q16" s="309"/>
      <c r="R16" s="21" t="s">
        <v>210</v>
      </c>
      <c r="S16" s="367">
        <f>(1000/(M7/M10))*M9*M8*(1/V36)*W36*M12*M14*M11*(M15/D36)*M13*G10</f>
        <v>6.7728554295652171E-3</v>
      </c>
      <c r="T16" s="367"/>
      <c r="U16" s="211">
        <v>0</v>
      </c>
      <c r="V16" s="210">
        <f>S16+U16</f>
        <v>6.7728554295652171E-3</v>
      </c>
      <c r="W16" s="192">
        <f>1000/V16</f>
        <v>147648.21284014842</v>
      </c>
      <c r="X16" s="14"/>
      <c r="Y16" s="14"/>
      <c r="Z16" s="14"/>
      <c r="AA16" s="14"/>
      <c r="AB16" s="14"/>
      <c r="AC16" s="14"/>
      <c r="AD16" s="14"/>
      <c r="AE16" s="14"/>
      <c r="AF16" s="14"/>
      <c r="AG16" s="14"/>
      <c r="AH16" s="14"/>
      <c r="AI16" s="14"/>
      <c r="AJ16" s="14"/>
      <c r="AK16" s="14"/>
      <c r="AL16" s="14"/>
      <c r="AM16" s="14"/>
      <c r="AN16" s="14"/>
      <c r="AO16" s="14"/>
      <c r="AP16" s="14"/>
      <c r="AR16">
        <f t="shared" si="1"/>
        <v>12</v>
      </c>
      <c r="AS16" s="85">
        <f t="shared" si="5"/>
        <v>72</v>
      </c>
      <c r="AT16" s="85"/>
      <c r="AU16" s="85">
        <f t="shared" si="2"/>
        <v>7.2</v>
      </c>
      <c r="AV16" s="85">
        <f t="shared" si="6"/>
        <v>72</v>
      </c>
      <c r="AW16">
        <f t="shared" ref="AW16:AW80" si="7">IF(ISNUMBER(AR17),SUM(AT16:AU16),SUM(AT16:AV16))</f>
        <v>7.2</v>
      </c>
      <c r="AX16" s="86">
        <f t="shared" si="0"/>
        <v>2.4870030074646721E-2</v>
      </c>
      <c r="AY16">
        <f t="shared" si="4"/>
        <v>1.3848563336764538E-2</v>
      </c>
      <c r="AZ16"/>
    </row>
    <row r="17" spans="1:53" ht="31.75" customHeight="1">
      <c r="A17" s="14"/>
      <c r="B17" s="357"/>
      <c r="C17" s="362"/>
      <c r="D17" s="361"/>
      <c r="E17" s="3"/>
      <c r="F17" s="354"/>
      <c r="G17" s="356"/>
      <c r="H17" s="6"/>
      <c r="I17" s="133" t="s">
        <v>7</v>
      </c>
      <c r="J17" s="131">
        <v>1.23</v>
      </c>
      <c r="K17" s="163"/>
      <c r="L17" s="14"/>
      <c r="M17" s="14"/>
      <c r="N17" s="12"/>
      <c r="O17" s="6"/>
      <c r="P17" s="14"/>
      <c r="Q17" s="15"/>
      <c r="R17" s="6"/>
      <c r="S17" s="6"/>
      <c r="T17" s="6"/>
      <c r="U17" s="6"/>
      <c r="V17" s="6"/>
      <c r="W17" s="12"/>
      <c r="X17" s="14"/>
      <c r="Y17" s="14"/>
      <c r="Z17" s="14"/>
      <c r="AA17" s="14"/>
      <c r="AB17" s="14"/>
      <c r="AC17" s="14"/>
      <c r="AD17" s="14"/>
      <c r="AE17" s="14"/>
      <c r="AF17" s="14"/>
      <c r="AG17" s="14"/>
      <c r="AH17" s="14"/>
      <c r="AI17" s="14"/>
      <c r="AJ17" s="14"/>
      <c r="AK17" s="14"/>
      <c r="AL17" s="14"/>
      <c r="AM17" s="14"/>
      <c r="AN17" s="14"/>
      <c r="AO17" s="14"/>
      <c r="AP17" s="14"/>
      <c r="AR17">
        <f>IF(AR16&lt;$D$14,AR16+1,"")</f>
        <v>13</v>
      </c>
      <c r="AS17" s="85">
        <f>IF(ISNUMBER(AR17),AV16,0)</f>
        <v>72</v>
      </c>
      <c r="AT17" s="85"/>
      <c r="AU17" s="85">
        <f t="shared" si="2"/>
        <v>7.2</v>
      </c>
      <c r="AV17" s="85">
        <f t="shared" si="6"/>
        <v>72</v>
      </c>
      <c r="AW17">
        <f>IF(ISNUMBER(AR18),SUM(AT17:AU17),SUM(AT17:AV17))</f>
        <v>7.2</v>
      </c>
      <c r="AX17" s="86">
        <f t="shared" si="0"/>
        <v>2.4870030074646721E-2</v>
      </c>
      <c r="AY17">
        <f t="shared" si="4"/>
        <v>1.3189107939775747E-2</v>
      </c>
      <c r="AZ17"/>
    </row>
    <row r="18" spans="1:53" ht="30.5" customHeight="1">
      <c r="A18" s="14"/>
      <c r="B18" s="357"/>
      <c r="C18" s="6"/>
      <c r="D18" s="6"/>
      <c r="E18" s="3"/>
      <c r="F18" s="150" t="s">
        <v>254</v>
      </c>
      <c r="G18" s="147">
        <v>0.16600000000000001</v>
      </c>
      <c r="H18" s="6"/>
      <c r="I18" s="146" t="s">
        <v>131</v>
      </c>
      <c r="J18" s="145">
        <v>1</v>
      </c>
      <c r="K18" s="162"/>
      <c r="L18" s="14"/>
      <c r="M18" s="14"/>
      <c r="N18" s="12"/>
      <c r="O18" s="6"/>
      <c r="P18" s="6"/>
      <c r="Q18" s="309" t="s">
        <v>240</v>
      </c>
      <c r="R18" s="207" t="s">
        <v>179</v>
      </c>
      <c r="S18" s="207" t="s">
        <v>35</v>
      </c>
      <c r="T18" s="319" t="s">
        <v>36</v>
      </c>
      <c r="U18" s="319"/>
      <c r="V18" s="319" t="s">
        <v>34</v>
      </c>
      <c r="W18" s="324"/>
      <c r="X18" s="14"/>
      <c r="Y18" s="14"/>
      <c r="Z18" s="14"/>
      <c r="AA18" s="14"/>
      <c r="AB18" s="14"/>
      <c r="AC18" s="14"/>
      <c r="AD18" s="14"/>
      <c r="AE18" s="14"/>
      <c r="AF18" s="14"/>
      <c r="AG18" s="14"/>
      <c r="AH18" s="14"/>
      <c r="AI18" s="14"/>
      <c r="AJ18" s="14"/>
      <c r="AK18" s="14"/>
      <c r="AL18" s="14"/>
      <c r="AM18" s="14"/>
      <c r="AN18" s="14"/>
      <c r="AO18" s="14"/>
      <c r="AP18" s="14"/>
      <c r="AR18">
        <f>IF(AR17&lt;$D$14,AR17+1,"")</f>
        <v>14</v>
      </c>
      <c r="AS18" s="85">
        <f>IF(ISNUMBER(AR18),AV17,0)</f>
        <v>72</v>
      </c>
      <c r="AT18" s="85"/>
      <c r="AU18" s="85">
        <f t="shared" si="2"/>
        <v>7.2</v>
      </c>
      <c r="AV18" s="85">
        <f t="shared" si="6"/>
        <v>72</v>
      </c>
      <c r="AW18">
        <f>IF(ISNUMBER(AR19),SUM(AT18:AU18),SUM(AT18:AV18))</f>
        <v>7.2</v>
      </c>
      <c r="AX18" s="86">
        <f t="shared" si="0"/>
        <v>2.4870030074646721E-2</v>
      </c>
      <c r="AY18">
        <f t="shared" si="4"/>
        <v>1.2561055180738811E-2</v>
      </c>
      <c r="AZ18"/>
    </row>
    <row r="19" spans="1:53" ht="10.25" customHeight="1" thickBot="1">
      <c r="A19" s="14"/>
      <c r="B19" s="141"/>
      <c r="C19" s="7"/>
      <c r="D19" s="7"/>
      <c r="E19" s="7"/>
      <c r="F19" s="142"/>
      <c r="G19" s="143"/>
      <c r="H19" s="7"/>
      <c r="I19" s="7"/>
      <c r="J19" s="7"/>
      <c r="K19" s="7"/>
      <c r="L19" s="172"/>
      <c r="M19" s="7"/>
      <c r="N19" s="144"/>
      <c r="O19" s="6"/>
      <c r="P19" s="14"/>
      <c r="Q19" s="321"/>
      <c r="R19" s="208">
        <f>AZ5</f>
        <v>0.3637949199423417</v>
      </c>
      <c r="S19" s="208">
        <f>AY4</f>
        <v>0.56272869303125006</v>
      </c>
      <c r="T19" s="320">
        <f>R19+S19</f>
        <v>0.92652361297359176</v>
      </c>
      <c r="U19" s="320"/>
      <c r="V19" s="322">
        <f>T19/('Pessimistic deworming, iodine'!Q36/'Pessimistic deworming, iodine'!D16)</f>
        <v>2.5865450862179438E-3</v>
      </c>
      <c r="W19" s="323"/>
      <c r="X19" s="14"/>
      <c r="Y19" s="14"/>
      <c r="Z19" s="14"/>
      <c r="AA19" s="14"/>
      <c r="AB19" s="14"/>
      <c r="AC19" s="14"/>
      <c r="AD19" s="14"/>
      <c r="AE19" s="14"/>
      <c r="AF19" s="14"/>
      <c r="AG19" s="14"/>
      <c r="AH19" s="14"/>
      <c r="AI19" s="14"/>
      <c r="AJ19" s="14"/>
      <c r="AK19" s="14"/>
      <c r="AL19" s="14"/>
      <c r="AM19" s="14"/>
      <c r="AN19" s="14"/>
      <c r="AO19" s="14"/>
      <c r="AP19" s="14"/>
      <c r="AR19">
        <f>IF(AR18&lt;$D$14,AR18+1,"")</f>
        <v>15</v>
      </c>
      <c r="AS19" s="85">
        <f>IF(ISNUMBER(AR19),AV18,0)</f>
        <v>72</v>
      </c>
      <c r="AT19" s="85"/>
      <c r="AU19" s="85">
        <f t="shared" si="2"/>
        <v>7.2</v>
      </c>
      <c r="AV19" s="85">
        <f t="shared" si="6"/>
        <v>72</v>
      </c>
      <c r="AW19">
        <f t="shared" si="7"/>
        <v>79.2</v>
      </c>
      <c r="AX19" s="86">
        <f t="shared" si="0"/>
        <v>0.24451401526259264</v>
      </c>
      <c r="AY19">
        <f t="shared" si="4"/>
        <v>0.1176154220641835</v>
      </c>
      <c r="AZ19"/>
    </row>
    <row r="20" spans="1:53" ht="9.5" customHeight="1" thickBot="1">
      <c r="A20" s="14"/>
      <c r="B20" s="14"/>
      <c r="C20" s="14"/>
      <c r="D20" s="14"/>
      <c r="E20" s="14"/>
      <c r="F20" s="14"/>
      <c r="G20" s="14"/>
      <c r="H20" s="14"/>
      <c r="I20" s="14"/>
      <c r="J20" s="14"/>
      <c r="K20" s="14"/>
      <c r="L20" s="14"/>
      <c r="M20" s="14"/>
      <c r="N20" s="14"/>
      <c r="O20" s="14"/>
      <c r="P20" s="14"/>
      <c r="Q20" s="6"/>
      <c r="R20" s="6"/>
      <c r="S20" s="6"/>
      <c r="T20" s="6"/>
      <c r="U20" s="6"/>
      <c r="V20" s="6"/>
      <c r="W20" s="6"/>
      <c r="X20" s="14"/>
      <c r="Y20" s="14"/>
      <c r="Z20" s="14"/>
      <c r="AA20" s="14"/>
      <c r="AB20" s="14"/>
      <c r="AC20" s="14"/>
      <c r="AD20" s="14"/>
      <c r="AE20" s="14"/>
      <c r="AF20" s="14"/>
      <c r="AG20" s="14"/>
      <c r="AH20" s="14"/>
      <c r="AI20" s="14"/>
      <c r="AJ20" s="14"/>
      <c r="AK20" s="14"/>
      <c r="AL20" s="14"/>
      <c r="AM20" s="14"/>
      <c r="AN20" s="14"/>
      <c r="AO20" s="14"/>
      <c r="AP20" s="14"/>
      <c r="AR20" t="str">
        <f t="shared" si="1"/>
        <v/>
      </c>
      <c r="AS20" s="85">
        <f t="shared" si="5"/>
        <v>0</v>
      </c>
      <c r="AT20" s="85"/>
      <c r="AU20" s="85">
        <f t="shared" si="2"/>
        <v>0</v>
      </c>
      <c r="AV20" s="85">
        <f t="shared" si="6"/>
        <v>0</v>
      </c>
      <c r="AW20">
        <f t="shared" si="7"/>
        <v>0</v>
      </c>
      <c r="AX20" s="86">
        <f t="shared" si="0"/>
        <v>0</v>
      </c>
      <c r="AY20">
        <f t="shared" si="4"/>
        <v>0</v>
      </c>
      <c r="AZ20"/>
    </row>
    <row r="21" spans="1:53" ht="10.25" customHeight="1">
      <c r="A21" s="14"/>
      <c r="B21" s="14"/>
      <c r="C21" s="14"/>
      <c r="D21" s="14"/>
      <c r="E21" s="6"/>
      <c r="F21" s="384" t="s">
        <v>34</v>
      </c>
      <c r="G21" s="28" t="s">
        <v>33</v>
      </c>
      <c r="H21" s="29"/>
      <c r="I21" s="30">
        <f>T9</f>
        <v>3.5261109100963496E-4</v>
      </c>
      <c r="J21" s="31"/>
      <c r="K21" s="31"/>
      <c r="L21" s="31"/>
      <c r="M21" s="31"/>
      <c r="N21" s="32"/>
      <c r="O21" s="36"/>
      <c r="P21" s="6"/>
      <c r="Q21" s="181"/>
      <c r="R21" s="381" t="s">
        <v>301</v>
      </c>
      <c r="S21" s="382"/>
      <c r="T21" s="96"/>
      <c r="U21" s="377" t="s">
        <v>37</v>
      </c>
      <c r="V21" s="377"/>
      <c r="W21" s="378"/>
      <c r="X21" s="14"/>
      <c r="Y21" s="14"/>
      <c r="Z21" s="14"/>
      <c r="AA21" s="14"/>
      <c r="AB21" s="14"/>
      <c r="AC21" s="14"/>
      <c r="AD21" s="14"/>
      <c r="AE21" s="14"/>
      <c r="AF21" s="14"/>
      <c r="AG21" s="14"/>
      <c r="AH21" s="14"/>
      <c r="AI21" s="14"/>
      <c r="AJ21" s="14"/>
      <c r="AK21" s="14"/>
      <c r="AL21" s="14"/>
      <c r="AM21" s="14"/>
      <c r="AN21" s="14"/>
      <c r="AO21" s="14"/>
      <c r="AP21" s="14"/>
      <c r="AR21" t="str">
        <f t="shared" si="1"/>
        <v/>
      </c>
      <c r="AS21" s="85">
        <f t="shared" si="5"/>
        <v>0</v>
      </c>
      <c r="AT21" s="85"/>
      <c r="AU21" s="85">
        <f t="shared" si="2"/>
        <v>0</v>
      </c>
      <c r="AV21" s="85">
        <f t="shared" si="6"/>
        <v>0</v>
      </c>
      <c r="AW21">
        <f t="shared" si="7"/>
        <v>0</v>
      </c>
      <c r="AX21" s="86">
        <f t="shared" si="0"/>
        <v>0</v>
      </c>
      <c r="AY21">
        <f t="shared" si="4"/>
        <v>0</v>
      </c>
      <c r="AZ21"/>
    </row>
    <row r="22" spans="1:53" ht="12" customHeight="1" thickBot="1">
      <c r="A22" s="14"/>
      <c r="B22" s="14"/>
      <c r="C22" s="14"/>
      <c r="D22" s="14"/>
      <c r="E22" s="6"/>
      <c r="F22" s="368"/>
      <c r="G22" s="33" t="s">
        <v>32</v>
      </c>
      <c r="H22" s="34"/>
      <c r="I22" s="35">
        <f>T10</f>
        <v>3.5399454956072597E-4</v>
      </c>
      <c r="J22" s="36"/>
      <c r="K22" s="36"/>
      <c r="L22" s="36"/>
      <c r="M22" s="36"/>
      <c r="N22" s="37"/>
      <c r="O22" s="36"/>
      <c r="P22" s="6"/>
      <c r="Q22" s="193"/>
      <c r="R22" s="309"/>
      <c r="S22" s="383"/>
      <c r="T22" s="97"/>
      <c r="U22" s="379"/>
      <c r="V22" s="379"/>
      <c r="W22" s="380"/>
      <c r="X22" s="14"/>
      <c r="Y22" s="83"/>
      <c r="Z22" s="14"/>
      <c r="AA22" s="14"/>
      <c r="AB22" s="14"/>
      <c r="AC22" s="14"/>
      <c r="AD22" s="14"/>
      <c r="AE22" s="14"/>
      <c r="AF22" s="14"/>
      <c r="AG22" s="14"/>
      <c r="AH22" s="14"/>
      <c r="AI22" s="14"/>
      <c r="AJ22" s="14"/>
      <c r="AK22" s="14"/>
      <c r="AL22" s="14"/>
      <c r="AM22" s="14"/>
      <c r="AN22" s="14"/>
      <c r="AO22" s="14"/>
      <c r="AP22" s="14"/>
      <c r="AR22" t="str">
        <f t="shared" si="1"/>
        <v/>
      </c>
      <c r="AS22" s="85">
        <f t="shared" si="5"/>
        <v>0</v>
      </c>
      <c r="AT22" s="85"/>
      <c r="AU22" s="85">
        <f t="shared" si="2"/>
        <v>0</v>
      </c>
      <c r="AV22" s="85">
        <f t="shared" si="6"/>
        <v>0</v>
      </c>
      <c r="AW22">
        <f t="shared" si="7"/>
        <v>0</v>
      </c>
      <c r="AX22" s="86">
        <f t="shared" si="0"/>
        <v>0</v>
      </c>
      <c r="AY22">
        <f t="shared" si="4"/>
        <v>0</v>
      </c>
      <c r="AZ22"/>
    </row>
    <row r="23" spans="1:53" ht="10.75" customHeight="1">
      <c r="A23" s="14"/>
      <c r="B23" s="313" t="s">
        <v>234</v>
      </c>
      <c r="C23" s="349"/>
      <c r="D23" s="349"/>
      <c r="E23" s="349"/>
      <c r="F23" s="368"/>
      <c r="G23" s="33" t="s">
        <v>210</v>
      </c>
      <c r="H23" s="34"/>
      <c r="I23" s="35">
        <f>T11</f>
        <v>3.5537942669433445E-4</v>
      </c>
      <c r="J23" s="36"/>
      <c r="K23" s="36"/>
      <c r="L23" s="36"/>
      <c r="M23" s="36"/>
      <c r="N23" s="37"/>
      <c r="O23" s="36"/>
      <c r="P23" s="6"/>
      <c r="Q23" s="181"/>
      <c r="R23" s="84" t="s">
        <v>44</v>
      </c>
      <c r="S23" s="46">
        <f>W24/W23</f>
        <v>0.33966759622078879</v>
      </c>
      <c r="T23" s="98"/>
      <c r="U23" s="45" t="s">
        <v>38</v>
      </c>
      <c r="V23" s="45"/>
      <c r="W23" s="47">
        <f>(R36/S36)*T5</f>
        <v>3.464223200731078</v>
      </c>
      <c r="X23" s="14"/>
      <c r="Y23" s="83"/>
      <c r="Z23" s="14"/>
      <c r="AA23" s="14"/>
      <c r="AB23" s="14"/>
      <c r="AC23" s="14"/>
      <c r="AD23" s="14"/>
      <c r="AE23" s="14"/>
      <c r="AF23" s="14"/>
      <c r="AG23" s="14"/>
      <c r="AH23" s="14"/>
      <c r="AI23" s="14"/>
      <c r="AJ23" s="14"/>
      <c r="AK23" s="14"/>
      <c r="AL23" s="14"/>
      <c r="AM23" s="14"/>
      <c r="AN23" s="14"/>
      <c r="AO23" s="14"/>
      <c r="AP23" s="14"/>
      <c r="AR23" t="str">
        <f t="shared" si="1"/>
        <v/>
      </c>
      <c r="AS23" s="85">
        <f t="shared" si="5"/>
        <v>0</v>
      </c>
      <c r="AT23" s="85"/>
      <c r="AU23" s="85">
        <f t="shared" si="2"/>
        <v>0</v>
      </c>
      <c r="AV23" s="85">
        <f t="shared" si="6"/>
        <v>0</v>
      </c>
      <c r="AW23">
        <f t="shared" si="7"/>
        <v>0</v>
      </c>
      <c r="AX23" s="86">
        <f t="shared" si="0"/>
        <v>0</v>
      </c>
      <c r="AY23">
        <f t="shared" si="4"/>
        <v>0</v>
      </c>
      <c r="AZ23"/>
    </row>
    <row r="24" spans="1:53" ht="12.5" customHeight="1" thickBot="1">
      <c r="A24" s="14"/>
      <c r="B24" s="350"/>
      <c r="C24" s="351"/>
      <c r="D24" s="351"/>
      <c r="E24" s="351"/>
      <c r="F24" s="368"/>
      <c r="G24" s="33" t="s">
        <v>14</v>
      </c>
      <c r="H24" s="34"/>
      <c r="I24" s="35">
        <f>'Pessimistic deworming, iodine'!V19</f>
        <v>2.5865450862179438E-3</v>
      </c>
      <c r="J24" s="36"/>
      <c r="K24" s="36"/>
      <c r="L24" s="36"/>
      <c r="M24" s="36"/>
      <c r="N24" s="37"/>
      <c r="O24" s="36"/>
      <c r="P24" s="6"/>
      <c r="Q24" s="193"/>
      <c r="R24" s="84" t="s">
        <v>32</v>
      </c>
      <c r="S24" s="46">
        <f>W25/W23</f>
        <v>0.34100027137622613</v>
      </c>
      <c r="T24" s="98"/>
      <c r="U24" s="45" t="s">
        <v>39</v>
      </c>
      <c r="V24" s="45"/>
      <c r="W24" s="47">
        <f>T9*R36</f>
        <v>1.1766843673646123</v>
      </c>
      <c r="X24" s="14"/>
      <c r="Y24" s="6"/>
      <c r="Z24" s="14"/>
      <c r="AA24" s="14"/>
      <c r="AB24" s="14"/>
      <c r="AC24" s="14"/>
      <c r="AD24" s="14"/>
      <c r="AE24" s="14"/>
      <c r="AF24" s="14"/>
      <c r="AG24" s="14"/>
      <c r="AH24" s="14"/>
      <c r="AI24" s="14"/>
      <c r="AJ24" s="14"/>
      <c r="AK24" s="14"/>
      <c r="AL24" s="14"/>
      <c r="AM24" s="14"/>
      <c r="AN24" s="14"/>
      <c r="AO24" s="14"/>
      <c r="AP24" s="14"/>
      <c r="AR24" t="str">
        <f t="shared" si="1"/>
        <v/>
      </c>
      <c r="AS24" s="85">
        <f t="shared" si="5"/>
        <v>0</v>
      </c>
      <c r="AT24" s="85"/>
      <c r="AU24" s="85">
        <f t="shared" si="2"/>
        <v>0</v>
      </c>
      <c r="AV24" s="85">
        <f t="shared" si="6"/>
        <v>0</v>
      </c>
      <c r="AW24">
        <f>IF(ISNUMBER(AR25),SUM(AT24:AU24),SUM(AT24:AV24))</f>
        <v>0</v>
      </c>
      <c r="AX24" s="86">
        <f t="shared" si="0"/>
        <v>0</v>
      </c>
      <c r="AY24">
        <f t="shared" si="4"/>
        <v>0</v>
      </c>
      <c r="AZ24"/>
    </row>
    <row r="25" spans="1:53" ht="14.5" customHeight="1">
      <c r="A25" s="14"/>
      <c r="B25" s="350"/>
      <c r="C25" s="351"/>
      <c r="D25" s="351"/>
      <c r="E25" s="351"/>
      <c r="F25" s="38" t="s">
        <v>48</v>
      </c>
      <c r="G25" s="39"/>
      <c r="H25" s="39"/>
      <c r="I25" s="40">
        <f>'Pessimistic deworming, iodine'!V19*J36</f>
        <v>0.73954497105143457</v>
      </c>
      <c r="J25" s="36"/>
      <c r="K25" s="36"/>
      <c r="L25" s="36"/>
      <c r="M25" s="36"/>
      <c r="N25" s="37"/>
      <c r="O25" s="36"/>
      <c r="P25" s="6"/>
      <c r="Q25" s="372" t="s">
        <v>235</v>
      </c>
      <c r="R25" s="84" t="s">
        <v>210</v>
      </c>
      <c r="S25" s="46">
        <f>W27/W23</f>
        <v>0.34233431304146994</v>
      </c>
      <c r="T25" s="22"/>
      <c r="U25" s="45" t="s">
        <v>32</v>
      </c>
      <c r="V25" s="45"/>
      <c r="W25" s="47">
        <f>T10*R36</f>
        <v>1.1813010515571163</v>
      </c>
      <c r="X25" s="6"/>
      <c r="Y25" s="6"/>
      <c r="Z25" s="14"/>
      <c r="AA25" s="14"/>
      <c r="AB25" s="14"/>
      <c r="AC25" s="14"/>
      <c r="AD25" s="14"/>
      <c r="AE25" s="14"/>
      <c r="AF25" s="14"/>
      <c r="AG25" s="14"/>
      <c r="AH25" s="14"/>
      <c r="AI25" s="14"/>
      <c r="AJ25" s="14"/>
      <c r="AK25" s="14"/>
      <c r="AL25" s="14"/>
      <c r="AM25" s="14"/>
      <c r="AN25" s="14"/>
      <c r="AO25" s="14"/>
      <c r="AP25" s="14"/>
      <c r="AR25" t="str">
        <f>IF(AR24&lt;$D$14,AR24+1,"")</f>
        <v/>
      </c>
      <c r="AS25" s="85">
        <f>IF(ISNUMBER(AR25),AV24,0)</f>
        <v>0</v>
      </c>
      <c r="AT25" s="85"/>
      <c r="AU25" s="85">
        <f t="shared" si="2"/>
        <v>0</v>
      </c>
      <c r="AV25" s="85">
        <f t="shared" si="6"/>
        <v>0</v>
      </c>
      <c r="AW25">
        <f t="shared" si="7"/>
        <v>0</v>
      </c>
      <c r="AX25" s="86">
        <f t="shared" si="0"/>
        <v>0</v>
      </c>
      <c r="AY25">
        <f t="shared" si="4"/>
        <v>0</v>
      </c>
      <c r="AZ25"/>
    </row>
    <row r="26" spans="1:53" ht="12" customHeight="1" thickBot="1">
      <c r="A26" s="14"/>
      <c r="B26" s="315"/>
      <c r="C26" s="352"/>
      <c r="D26" s="352"/>
      <c r="E26" s="352"/>
      <c r="F26" s="15"/>
      <c r="G26" s="6"/>
      <c r="H26" s="6"/>
      <c r="I26" s="6"/>
      <c r="J26" s="6"/>
      <c r="K26" s="6"/>
      <c r="L26" s="6"/>
      <c r="M26" s="6"/>
      <c r="N26" s="12"/>
      <c r="O26" s="36"/>
      <c r="P26" s="6"/>
      <c r="Q26" s="373"/>
      <c r="R26" s="15"/>
      <c r="S26" s="6"/>
      <c r="T26" s="6"/>
      <c r="U26" s="45" t="s">
        <v>14</v>
      </c>
      <c r="V26" s="45"/>
      <c r="W26" s="47">
        <f>V19*R36</f>
        <v>8.6314561454144521</v>
      </c>
      <c r="X26" s="14"/>
      <c r="Y26" s="14"/>
      <c r="Z26" s="14"/>
      <c r="AA26" s="14"/>
      <c r="AB26" s="14"/>
      <c r="AC26" s="14"/>
      <c r="AD26" s="14"/>
      <c r="AE26" s="14"/>
      <c r="AF26" s="14"/>
      <c r="AG26" s="14"/>
      <c r="AH26" s="14"/>
      <c r="AI26" s="14"/>
      <c r="AJ26" s="14"/>
      <c r="AK26" s="14"/>
      <c r="AL26" s="14"/>
      <c r="AM26" s="14"/>
      <c r="AN26" s="14"/>
      <c r="AO26" s="14"/>
      <c r="AP26" s="14"/>
      <c r="AR26" t="str">
        <f t="shared" si="1"/>
        <v/>
      </c>
      <c r="AS26" s="85">
        <f t="shared" si="5"/>
        <v>0</v>
      </c>
      <c r="AT26" s="85"/>
      <c r="AU26" s="85">
        <f t="shared" si="2"/>
        <v>0</v>
      </c>
      <c r="AV26" s="85">
        <f t="shared" si="6"/>
        <v>0</v>
      </c>
      <c r="AW26">
        <f t="shared" si="7"/>
        <v>0</v>
      </c>
      <c r="AX26" s="86">
        <f t="shared" si="0"/>
        <v>0</v>
      </c>
      <c r="AY26">
        <f t="shared" si="4"/>
        <v>0</v>
      </c>
      <c r="AZ26"/>
    </row>
    <row r="27" spans="1:53" ht="12.5" customHeight="1">
      <c r="A27" s="14"/>
      <c r="B27" s="14"/>
      <c r="C27" s="14"/>
      <c r="D27" s="14"/>
      <c r="E27" s="6"/>
      <c r="F27" s="41" t="s">
        <v>41</v>
      </c>
      <c r="G27" s="42">
        <f>I21/I24</f>
        <v>0.13632512840718514</v>
      </c>
      <c r="H27" s="43" t="s">
        <v>42</v>
      </c>
      <c r="I27" s="39"/>
      <c r="J27" s="39"/>
      <c r="K27" s="39"/>
      <c r="L27" s="39"/>
      <c r="M27" s="39"/>
      <c r="N27" s="44"/>
      <c r="O27" s="36"/>
      <c r="P27" s="6"/>
      <c r="Q27" s="373"/>
      <c r="R27" s="15"/>
      <c r="S27" s="6"/>
      <c r="T27" s="6"/>
      <c r="U27" s="45" t="s">
        <v>210</v>
      </c>
      <c r="V27" s="45"/>
      <c r="W27" s="47">
        <f>T11*R36</f>
        <v>1.1859224696445958</v>
      </c>
      <c r="X27" s="14"/>
      <c r="Y27" s="14"/>
      <c r="Z27" s="14"/>
      <c r="AA27" s="14"/>
      <c r="AB27" s="14"/>
      <c r="AC27" s="14"/>
      <c r="AD27" s="14"/>
      <c r="AE27" s="14"/>
      <c r="AF27" s="14"/>
      <c r="AG27" s="14"/>
      <c r="AH27" s="14"/>
      <c r="AI27" s="14"/>
      <c r="AJ27" s="14"/>
      <c r="AK27" s="14"/>
      <c r="AL27" s="14"/>
      <c r="AM27" s="14"/>
      <c r="AN27" s="14"/>
      <c r="AO27" s="14"/>
      <c r="AP27" s="14"/>
      <c r="AR27" t="str">
        <f t="shared" si="1"/>
        <v/>
      </c>
      <c r="AS27" s="85">
        <f t="shared" si="5"/>
        <v>0</v>
      </c>
      <c r="AT27" s="85"/>
      <c r="AU27" s="85">
        <f t="shared" si="2"/>
        <v>0</v>
      </c>
      <c r="AV27" s="85">
        <f t="shared" si="6"/>
        <v>0</v>
      </c>
      <c r="AW27">
        <f t="shared" si="7"/>
        <v>0</v>
      </c>
      <c r="AX27" s="86">
        <f t="shared" si="0"/>
        <v>0</v>
      </c>
      <c r="AY27">
        <f t="shared" si="4"/>
        <v>0</v>
      </c>
      <c r="AZ27" s="117"/>
      <c r="BA27" s="14"/>
    </row>
    <row r="28" spans="1:53" s="14" customFormat="1" ht="14.5" customHeight="1" thickBot="1">
      <c r="E28" s="6"/>
      <c r="F28" s="41" t="s">
        <v>43</v>
      </c>
      <c r="G28" s="42">
        <f>I22/I24</f>
        <v>0.13685999577078248</v>
      </c>
      <c r="H28" s="43" t="s">
        <v>42</v>
      </c>
      <c r="I28" s="39"/>
      <c r="J28" s="39"/>
      <c r="K28" s="39"/>
      <c r="L28" s="39"/>
      <c r="M28" s="39"/>
      <c r="N28" s="44"/>
      <c r="O28" s="36"/>
      <c r="P28" s="6"/>
      <c r="Q28" s="374"/>
      <c r="R28" s="15"/>
      <c r="S28" s="6"/>
      <c r="T28" s="6"/>
      <c r="U28" s="6"/>
      <c r="V28" s="6"/>
      <c r="W28" s="12"/>
      <c r="AR28" t="str">
        <f t="shared" si="1"/>
        <v/>
      </c>
      <c r="AS28" s="85">
        <f t="shared" si="5"/>
        <v>0</v>
      </c>
      <c r="AT28" s="85"/>
      <c r="AU28" s="85">
        <f t="shared" si="2"/>
        <v>0</v>
      </c>
      <c r="AV28" s="85">
        <f t="shared" si="6"/>
        <v>0</v>
      </c>
      <c r="AW28">
        <f t="shared" si="7"/>
        <v>0</v>
      </c>
      <c r="AX28" s="86">
        <f t="shared" si="0"/>
        <v>0</v>
      </c>
      <c r="AY28">
        <f t="shared" si="4"/>
        <v>0</v>
      </c>
      <c r="AZ28"/>
      <c r="BA28" s="1"/>
    </row>
    <row r="29" spans="1:53" ht="13.75" customHeight="1">
      <c r="A29" s="14"/>
      <c r="B29" s="14"/>
      <c r="C29" s="14"/>
      <c r="D29" s="14"/>
      <c r="E29" s="6"/>
      <c r="F29" s="41" t="s">
        <v>228</v>
      </c>
      <c r="G29" s="42">
        <f>I23/I24</f>
        <v>0.13739541158123464</v>
      </c>
      <c r="H29" s="43" t="s">
        <v>42</v>
      </c>
      <c r="I29" s="39"/>
      <c r="J29" s="39"/>
      <c r="K29" s="39"/>
      <c r="L29" s="39"/>
      <c r="M29" s="39"/>
      <c r="N29" s="44"/>
      <c r="O29" s="36"/>
      <c r="P29" s="6"/>
      <c r="Q29" s="193"/>
      <c r="R29" s="375" t="s">
        <v>231</v>
      </c>
      <c r="S29" s="376"/>
      <c r="T29" s="376"/>
      <c r="U29" s="376"/>
      <c r="V29" s="376"/>
      <c r="W29" s="100">
        <f>W24-W23</f>
        <v>-2.2875388333664657</v>
      </c>
      <c r="X29" s="14"/>
      <c r="Y29" s="14"/>
      <c r="Z29" s="14"/>
      <c r="AA29" s="14"/>
      <c r="AB29" s="14"/>
      <c r="AC29" s="14"/>
      <c r="AD29" s="14"/>
      <c r="AE29" s="14"/>
      <c r="AF29" s="14"/>
      <c r="AG29" s="14"/>
      <c r="AH29" s="14"/>
      <c r="AI29" s="14"/>
      <c r="AJ29" s="14"/>
      <c r="AK29" s="14"/>
      <c r="AL29" s="14"/>
      <c r="AM29" s="14"/>
      <c r="AN29" s="14"/>
      <c r="AO29" s="14"/>
      <c r="AP29" s="14"/>
      <c r="AR29" t="str">
        <f t="shared" si="1"/>
        <v/>
      </c>
      <c r="AS29" s="85">
        <f t="shared" si="5"/>
        <v>0</v>
      </c>
      <c r="AT29" s="85"/>
      <c r="AU29" s="85">
        <f t="shared" si="2"/>
        <v>0</v>
      </c>
      <c r="AV29" s="85">
        <f t="shared" si="6"/>
        <v>0</v>
      </c>
      <c r="AW29">
        <f t="shared" si="7"/>
        <v>0</v>
      </c>
      <c r="AX29" s="86">
        <f t="shared" si="0"/>
        <v>0</v>
      </c>
      <c r="AY29">
        <f t="shared" si="4"/>
        <v>0</v>
      </c>
      <c r="AZ29"/>
    </row>
    <row r="30" spans="1:53" ht="13.25" customHeight="1">
      <c r="A30" s="14"/>
      <c r="B30" s="14"/>
      <c r="C30" s="14"/>
      <c r="D30" s="14"/>
      <c r="E30" s="6"/>
      <c r="F30" s="15"/>
      <c r="G30" s="6"/>
      <c r="H30" s="6"/>
      <c r="I30" s="6"/>
      <c r="J30" s="36"/>
      <c r="K30" s="36"/>
      <c r="L30" s="36"/>
      <c r="M30" s="36"/>
      <c r="N30" s="37"/>
      <c r="O30" s="36"/>
      <c r="P30" s="6"/>
      <c r="Q30" s="193"/>
      <c r="R30" s="375" t="s">
        <v>230</v>
      </c>
      <c r="S30" s="376"/>
      <c r="T30" s="376"/>
      <c r="U30" s="376"/>
      <c r="V30" s="376"/>
      <c r="W30" s="100">
        <f>W25-W23</f>
        <v>-2.2829221491739617</v>
      </c>
      <c r="X30" s="14"/>
      <c r="Y30" s="14"/>
      <c r="Z30" s="14"/>
      <c r="AA30" s="14"/>
      <c r="AB30" s="14"/>
      <c r="AC30" s="14"/>
      <c r="AD30" s="14"/>
      <c r="AE30" s="14"/>
      <c r="AF30" s="14"/>
      <c r="AG30" s="14"/>
      <c r="AH30" s="14"/>
      <c r="AI30" s="14"/>
      <c r="AJ30" s="14"/>
      <c r="AK30" s="14"/>
      <c r="AL30" s="14"/>
      <c r="AM30" s="14"/>
      <c r="AN30" s="14"/>
      <c r="AO30" s="14"/>
      <c r="AP30" s="14"/>
      <c r="AR30" t="str">
        <f t="shared" si="1"/>
        <v/>
      </c>
      <c r="AS30" s="85">
        <f t="shared" si="5"/>
        <v>0</v>
      </c>
      <c r="AT30" s="85"/>
      <c r="AU30" s="85">
        <f t="shared" si="2"/>
        <v>0</v>
      </c>
      <c r="AV30" s="85">
        <f t="shared" si="6"/>
        <v>0</v>
      </c>
      <c r="AW30">
        <f>IF(ISNUMBER(AR33),SUM(AT30:AU30),SUM(AT30:AV30))</f>
        <v>0</v>
      </c>
      <c r="AX30" s="86">
        <f t="shared" si="0"/>
        <v>0</v>
      </c>
      <c r="AY30">
        <f t="shared" si="4"/>
        <v>0</v>
      </c>
      <c r="AZ30"/>
    </row>
    <row r="31" spans="1:53" ht="13.25" customHeight="1" thickBot="1">
      <c r="A31" s="14"/>
      <c r="B31" s="14"/>
      <c r="C31" s="14"/>
      <c r="D31" s="14"/>
      <c r="E31" s="6"/>
      <c r="F31" s="368" t="s">
        <v>184</v>
      </c>
      <c r="G31" s="33" t="s">
        <v>33</v>
      </c>
      <c r="H31" s="34"/>
      <c r="I31" s="40">
        <f>1000/V14</f>
        <v>148807.39310080654</v>
      </c>
      <c r="J31" s="36"/>
      <c r="K31" s="36"/>
      <c r="L31" s="36"/>
      <c r="M31" s="36"/>
      <c r="N31" s="37"/>
      <c r="O31" s="36"/>
      <c r="P31" s="6"/>
      <c r="Q31" s="194"/>
      <c r="R31" s="370" t="s">
        <v>229</v>
      </c>
      <c r="S31" s="371"/>
      <c r="T31" s="371"/>
      <c r="U31" s="371"/>
      <c r="V31" s="371"/>
      <c r="W31" s="101">
        <f>W27-W23</f>
        <v>-2.2783007310864822</v>
      </c>
      <c r="X31" s="14"/>
      <c r="Y31" s="14"/>
      <c r="Z31" s="14"/>
      <c r="AA31" s="14"/>
      <c r="AB31" s="14"/>
      <c r="AC31" s="14"/>
      <c r="AD31" s="14"/>
      <c r="AE31" s="14"/>
      <c r="AF31" s="14"/>
      <c r="AG31" s="14"/>
      <c r="AH31" s="14"/>
      <c r="AI31" s="14"/>
      <c r="AJ31" s="14"/>
      <c r="AK31" s="14"/>
      <c r="AL31" s="14"/>
      <c r="AM31" s="14"/>
      <c r="AN31" s="14"/>
      <c r="AO31" s="14"/>
      <c r="AP31" s="14"/>
      <c r="AR31"/>
      <c r="AS31" s="85"/>
      <c r="AT31" s="85"/>
      <c r="AU31" s="85"/>
      <c r="AV31" s="85"/>
      <c r="AW31"/>
      <c r="AX31" s="86"/>
      <c r="AY31"/>
      <c r="AZ31"/>
    </row>
    <row r="32" spans="1:53" ht="13.25" customHeight="1">
      <c r="A32" s="14"/>
      <c r="B32" s="14"/>
      <c r="C32" s="14"/>
      <c r="D32" s="14"/>
      <c r="E32" s="6"/>
      <c r="F32" s="368"/>
      <c r="G32" s="33" t="s">
        <v>32</v>
      </c>
      <c r="H32" s="34"/>
      <c r="I32" s="40">
        <f>1000/V15</f>
        <v>148225.83369344746</v>
      </c>
      <c r="J32" s="36"/>
      <c r="K32" s="36"/>
      <c r="L32" s="36"/>
      <c r="M32" s="36"/>
      <c r="N32" s="37"/>
      <c r="O32" s="36"/>
      <c r="P32" s="6"/>
      <c r="Q32" s="114"/>
      <c r="R32" s="115"/>
      <c r="S32" s="115"/>
      <c r="T32" s="115"/>
      <c r="U32" s="115"/>
      <c r="V32" s="115"/>
      <c r="W32" s="116"/>
      <c r="X32" s="14"/>
      <c r="Y32" s="14"/>
      <c r="Z32" s="14"/>
      <c r="AA32" s="14"/>
      <c r="AB32" s="14"/>
      <c r="AC32" s="14"/>
      <c r="AD32" s="14"/>
      <c r="AE32" s="14"/>
      <c r="AF32" s="14"/>
      <c r="AG32" s="14"/>
      <c r="AH32" s="14"/>
      <c r="AI32" s="14"/>
      <c r="AJ32" s="14"/>
      <c r="AK32" s="14"/>
      <c r="AL32" s="14"/>
      <c r="AM32" s="14"/>
      <c r="AN32" s="14"/>
      <c r="AO32" s="14"/>
      <c r="AP32" s="14"/>
      <c r="AR32"/>
      <c r="AS32" s="85"/>
      <c r="AT32" s="85"/>
      <c r="AU32" s="85"/>
      <c r="AV32" s="85"/>
      <c r="AW32"/>
      <c r="AX32" s="86"/>
      <c r="AY32"/>
      <c r="AZ32"/>
    </row>
    <row r="33" spans="1:52" ht="13.75" customHeight="1" thickBot="1">
      <c r="A33" s="14"/>
      <c r="B33" s="14"/>
      <c r="C33" s="14"/>
      <c r="D33" s="14"/>
      <c r="E33" s="14"/>
      <c r="F33" s="369"/>
      <c r="G33" s="118" t="s">
        <v>210</v>
      </c>
      <c r="H33" s="119"/>
      <c r="I33" s="120">
        <f>1000/V16</f>
        <v>147648.21284014842</v>
      </c>
      <c r="J33" s="7"/>
      <c r="K33" s="7"/>
      <c r="L33" s="7"/>
      <c r="M33" s="7"/>
      <c r="N33" s="182"/>
      <c r="O33" s="14"/>
      <c r="P33" s="14"/>
      <c r="Q33" s="114"/>
      <c r="R33" s="115"/>
      <c r="S33" s="115"/>
      <c r="T33" s="115"/>
      <c r="U33" s="115"/>
      <c r="V33" s="115"/>
      <c r="W33" s="116"/>
      <c r="X33" s="14"/>
      <c r="Y33" s="14"/>
      <c r="Z33" s="14"/>
      <c r="AA33" s="14"/>
      <c r="AB33" s="14"/>
      <c r="AC33" s="14"/>
      <c r="AD33" s="14"/>
      <c r="AE33" s="14"/>
      <c r="AF33" s="14"/>
      <c r="AG33" s="14"/>
      <c r="AH33" s="14"/>
      <c r="AI33" s="14"/>
      <c r="AJ33" s="14"/>
      <c r="AK33" s="14"/>
      <c r="AL33" s="14"/>
      <c r="AM33" s="14"/>
      <c r="AN33" s="14"/>
      <c r="AO33" s="14"/>
      <c r="AP33" s="14"/>
      <c r="AR33" t="str">
        <f>IF(AR30&lt;$D$14,AR30+1,"")</f>
        <v/>
      </c>
      <c r="AS33" s="85">
        <f>IF(ISNUMBER(AR33),AV30,0)</f>
        <v>0</v>
      </c>
      <c r="AT33" s="85"/>
      <c r="AU33" s="85">
        <f t="shared" si="2"/>
        <v>0</v>
      </c>
      <c r="AV33" s="85">
        <f t="shared" si="6"/>
        <v>0</v>
      </c>
      <c r="AW33">
        <f t="shared" si="7"/>
        <v>0</v>
      </c>
      <c r="AX33" s="86">
        <f>LN(AW33+$J$36)-LN($J$36)</f>
        <v>0</v>
      </c>
      <c r="AY33">
        <f t="shared" si="4"/>
        <v>0</v>
      </c>
    </row>
    <row r="34" spans="1:52" ht="51" customHeight="1" thickBot="1">
      <c r="B34" s="14"/>
      <c r="C34" s="14"/>
      <c r="D34" s="14"/>
      <c r="E34" s="14"/>
      <c r="F34" s="14"/>
      <c r="G34" s="14"/>
      <c r="H34" s="14"/>
      <c r="I34" s="14"/>
      <c r="J34" s="14"/>
      <c r="K34" s="14"/>
      <c r="L34" s="14"/>
      <c r="M34" s="14"/>
      <c r="N34" s="14"/>
      <c r="O34" s="14"/>
      <c r="P34" s="14"/>
      <c r="Q34" s="114"/>
      <c r="R34" s="115"/>
      <c r="S34" s="115"/>
      <c r="T34" s="115"/>
      <c r="U34" s="115"/>
      <c r="V34" s="115"/>
      <c r="W34" s="116"/>
      <c r="X34" s="14"/>
      <c r="Y34" s="14"/>
      <c r="Z34" s="14"/>
      <c r="AA34" s="14"/>
      <c r="AB34" s="14"/>
      <c r="AC34" s="14"/>
      <c r="AD34" s="14"/>
      <c r="AE34" s="14"/>
      <c r="AF34" s="14"/>
      <c r="AG34" s="14"/>
      <c r="AH34" s="14"/>
      <c r="AI34" s="14"/>
      <c r="AJ34" s="14"/>
      <c r="AK34" s="14"/>
      <c r="AL34" s="14"/>
      <c r="AM34" s="14"/>
      <c r="AQ34"/>
      <c r="AR34" t="str">
        <f t="shared" si="1"/>
        <v/>
      </c>
      <c r="AS34" s="85">
        <f t="shared" si="5"/>
        <v>0</v>
      </c>
      <c r="AT34" s="85"/>
      <c r="AU34" s="85">
        <f t="shared" si="2"/>
        <v>0</v>
      </c>
      <c r="AV34" s="85">
        <f t="shared" si="6"/>
        <v>0</v>
      </c>
      <c r="AW34">
        <f t="shared" si="7"/>
        <v>0</v>
      </c>
      <c r="AX34" s="86">
        <f>LN(AW34+$J$36)-LN($J$36)</f>
        <v>0</v>
      </c>
      <c r="AY34">
        <f t="shared" si="4"/>
        <v>0</v>
      </c>
    </row>
    <row r="35" spans="1:52" ht="31.25" customHeight="1">
      <c r="A35" s="14"/>
      <c r="B35" s="327" t="s">
        <v>29</v>
      </c>
      <c r="C35" s="16"/>
      <c r="D35" s="330" t="s">
        <v>24</v>
      </c>
      <c r="E35" s="331"/>
      <c r="F35" s="332"/>
      <c r="G35" s="18" t="s">
        <v>16</v>
      </c>
      <c r="H35" s="341" t="s">
        <v>27</v>
      </c>
      <c r="I35" s="342"/>
      <c r="J35" s="330" t="s">
        <v>26</v>
      </c>
      <c r="K35" s="331"/>
      <c r="L35" s="331"/>
      <c r="M35" s="331"/>
      <c r="N35" s="332"/>
      <c r="O35" s="330" t="s">
        <v>17</v>
      </c>
      <c r="P35" s="332"/>
      <c r="Q35" s="202" t="s">
        <v>18</v>
      </c>
      <c r="R35" s="103" t="s">
        <v>178</v>
      </c>
      <c r="S35" s="213" t="s">
        <v>25</v>
      </c>
      <c r="T35" s="214"/>
      <c r="U35" s="103" t="s">
        <v>172</v>
      </c>
      <c r="V35" s="103" t="s">
        <v>222</v>
      </c>
      <c r="W35" s="111" t="s">
        <v>225</v>
      </c>
      <c r="X35" s="14"/>
      <c r="Y35" s="14"/>
      <c r="Z35" s="14"/>
      <c r="AA35" s="14"/>
      <c r="AB35" s="14"/>
      <c r="AC35" s="14"/>
      <c r="AD35" s="14"/>
      <c r="AE35" s="14"/>
      <c r="AF35" s="14"/>
      <c r="AG35" s="14"/>
      <c r="AH35" s="14"/>
      <c r="AI35" s="14"/>
      <c r="AJ35" s="14"/>
      <c r="AK35" s="14"/>
      <c r="AL35" s="14"/>
      <c r="AM35" s="14"/>
      <c r="AQ35"/>
      <c r="AR35" t="str">
        <f t="shared" si="1"/>
        <v/>
      </c>
      <c r="AS35" s="85">
        <f t="shared" si="5"/>
        <v>0</v>
      </c>
      <c r="AT35" s="85"/>
      <c r="AU35" s="85">
        <f t="shared" si="2"/>
        <v>0</v>
      </c>
      <c r="AV35" s="85">
        <f t="shared" si="6"/>
        <v>0</v>
      </c>
      <c r="AW35">
        <f t="shared" si="7"/>
        <v>0</v>
      </c>
      <c r="AX35" s="86">
        <f>LN(AW35+$J$36)-LN($J$36)</f>
        <v>0</v>
      </c>
      <c r="AY35">
        <f t="shared" si="4"/>
        <v>0</v>
      </c>
      <c r="AZ35"/>
    </row>
    <row r="36" spans="1:52" ht="12" customHeight="1">
      <c r="A36" s="14"/>
      <c r="B36" s="328"/>
      <c r="C36" s="19" t="s">
        <v>20</v>
      </c>
      <c r="D36" s="333">
        <v>0.253</v>
      </c>
      <c r="E36" s="334"/>
      <c r="F36" s="335"/>
      <c r="G36" s="26">
        <v>2.41</v>
      </c>
      <c r="H36" s="336">
        <v>4.7</v>
      </c>
      <c r="I36" s="337"/>
      <c r="J36" s="338">
        <v>285.92</v>
      </c>
      <c r="K36" s="339"/>
      <c r="L36" s="339"/>
      <c r="M36" s="339"/>
      <c r="N36" s="340"/>
      <c r="O36" s="385">
        <v>1000</v>
      </c>
      <c r="P36" s="386"/>
      <c r="Q36" s="102">
        <v>288</v>
      </c>
      <c r="R36" s="104">
        <v>3337.06</v>
      </c>
      <c r="S36" s="204">
        <v>6.32</v>
      </c>
      <c r="T36" s="203"/>
      <c r="U36" s="185">
        <f>AVERAGE(36.46,36.59)</f>
        <v>36.525000000000006</v>
      </c>
      <c r="V36" s="185">
        <v>15</v>
      </c>
      <c r="W36" s="173">
        <v>0.43099999999999999</v>
      </c>
      <c r="X36" s="14"/>
      <c r="Y36" s="6"/>
      <c r="Z36" s="14"/>
      <c r="AA36" s="14"/>
      <c r="AB36" s="14"/>
      <c r="AC36" s="14"/>
      <c r="AD36" s="14"/>
      <c r="AE36" s="14"/>
      <c r="AF36" s="14"/>
      <c r="AG36" s="14"/>
      <c r="AH36" s="14"/>
      <c r="AI36" s="14"/>
      <c r="AJ36" s="14"/>
      <c r="AK36" s="14"/>
      <c r="AL36" s="14"/>
      <c r="AM36" s="14"/>
      <c r="AN36" s="14"/>
      <c r="AR36" t="str">
        <f t="shared" si="1"/>
        <v/>
      </c>
      <c r="AS36" s="85">
        <f t="shared" si="5"/>
        <v>0</v>
      </c>
      <c r="AT36" s="85"/>
      <c r="AU36" s="85">
        <f t="shared" si="2"/>
        <v>0</v>
      </c>
      <c r="AV36" s="85">
        <f t="shared" si="6"/>
        <v>0</v>
      </c>
      <c r="AW36">
        <f t="shared" si="7"/>
        <v>0</v>
      </c>
      <c r="AX36" s="86">
        <f>LN(AW36+$J$36)-LN($J$36)</f>
        <v>0</v>
      </c>
      <c r="AY36">
        <f t="shared" si="4"/>
        <v>0</v>
      </c>
      <c r="AZ36"/>
    </row>
    <row r="37" spans="1:52" ht="12" customHeight="1" thickBot="1">
      <c r="A37" s="14"/>
      <c r="B37" s="329"/>
      <c r="C37" s="20" t="s">
        <v>21</v>
      </c>
      <c r="D37" s="394" t="s">
        <v>22</v>
      </c>
      <c r="E37" s="394"/>
      <c r="F37" s="394"/>
      <c r="G37" s="393" t="s">
        <v>23</v>
      </c>
      <c r="H37" s="393"/>
      <c r="I37" s="393"/>
      <c r="J37" s="393"/>
      <c r="K37" s="393"/>
      <c r="L37" s="393"/>
      <c r="M37" s="393"/>
      <c r="N37" s="393"/>
      <c r="O37" s="393"/>
      <c r="P37" s="393"/>
      <c r="Q37" s="393"/>
      <c r="R37" s="364" t="s">
        <v>140</v>
      </c>
      <c r="S37" s="365"/>
      <c r="T37" s="366"/>
      <c r="U37" s="186" t="s">
        <v>185</v>
      </c>
      <c r="V37" s="187" t="s">
        <v>223</v>
      </c>
      <c r="W37" s="188" t="s">
        <v>307</v>
      </c>
      <c r="X37" s="14"/>
      <c r="Y37" s="6"/>
      <c r="Z37" s="14"/>
      <c r="AA37" s="14"/>
      <c r="AB37" s="14"/>
      <c r="AC37" s="14"/>
      <c r="AD37" s="14"/>
      <c r="AE37" s="14"/>
      <c r="AF37" s="14"/>
      <c r="AG37" s="14"/>
      <c r="AH37" s="14"/>
      <c r="AI37" s="14"/>
      <c r="AJ37" s="14"/>
      <c r="AK37" s="14"/>
      <c r="AL37" s="14"/>
      <c r="AM37" s="14"/>
      <c r="AN37" s="14"/>
      <c r="AO37" s="14"/>
      <c r="AP37" s="14"/>
      <c r="AR37" t="str">
        <f t="shared" si="1"/>
        <v/>
      </c>
      <c r="AS37" s="85">
        <f t="shared" si="5"/>
        <v>0</v>
      </c>
      <c r="AT37" s="85"/>
      <c r="AU37" s="85">
        <f t="shared" si="2"/>
        <v>0</v>
      </c>
      <c r="AV37" s="85">
        <f t="shared" si="6"/>
        <v>0</v>
      </c>
      <c r="AW37">
        <f t="shared" si="7"/>
        <v>0</v>
      </c>
      <c r="AX37" s="86">
        <f>LN(AW37+$J$36)-LN($J$36)</f>
        <v>0</v>
      </c>
      <c r="AY37">
        <f t="shared" si="4"/>
        <v>0</v>
      </c>
      <c r="AZ37"/>
    </row>
    <row r="38" spans="1:52" s="14" customFormat="1" ht="14">
      <c r="J38" s="148"/>
      <c r="K38" s="148"/>
      <c r="L38" s="148"/>
      <c r="M38" s="148"/>
      <c r="Y38" s="6"/>
      <c r="AR38" s="117" t="str">
        <f t="shared" si="1"/>
        <v/>
      </c>
      <c r="AS38" s="183">
        <f t="shared" si="5"/>
        <v>0</v>
      </c>
      <c r="AT38" s="183"/>
      <c r="AU38" s="183">
        <f t="shared" si="2"/>
        <v>0</v>
      </c>
      <c r="AV38" s="183">
        <f t="shared" si="6"/>
        <v>0</v>
      </c>
      <c r="AW38" s="117">
        <f t="shared" si="7"/>
        <v>0</v>
      </c>
      <c r="AX38" s="184">
        <f t="shared" ref="AX38:AX101" si="8">LN(AW38+$J$36)-LN($J$36)</f>
        <v>0</v>
      </c>
      <c r="AY38" s="117">
        <f t="shared" si="4"/>
        <v>0</v>
      </c>
      <c r="AZ38" s="117"/>
    </row>
    <row r="39" spans="1:52" s="14" customFormat="1" ht="14">
      <c r="AR39" s="117" t="str">
        <f t="shared" si="1"/>
        <v/>
      </c>
      <c r="AS39" s="183">
        <f t="shared" si="5"/>
        <v>0</v>
      </c>
      <c r="AT39" s="183"/>
      <c r="AU39" s="183">
        <f t="shared" si="2"/>
        <v>0</v>
      </c>
      <c r="AV39" s="183">
        <f t="shared" si="6"/>
        <v>0</v>
      </c>
      <c r="AW39" s="117">
        <f t="shared" si="7"/>
        <v>0</v>
      </c>
      <c r="AX39" s="184">
        <f t="shared" si="8"/>
        <v>0</v>
      </c>
      <c r="AY39" s="117">
        <f t="shared" si="4"/>
        <v>0</v>
      </c>
      <c r="AZ39" s="117"/>
    </row>
    <row r="40" spans="1:52" s="14" customFormat="1" ht="14">
      <c r="AR40" s="117" t="str">
        <f t="shared" si="1"/>
        <v/>
      </c>
      <c r="AS40" s="183">
        <f t="shared" si="5"/>
        <v>0</v>
      </c>
      <c r="AT40" s="183"/>
      <c r="AU40" s="183">
        <f t="shared" si="2"/>
        <v>0</v>
      </c>
      <c r="AV40" s="183">
        <f t="shared" si="6"/>
        <v>0</v>
      </c>
      <c r="AW40" s="117">
        <f t="shared" si="7"/>
        <v>0</v>
      </c>
      <c r="AX40" s="184">
        <f t="shared" si="8"/>
        <v>0</v>
      </c>
      <c r="AY40" s="117">
        <f t="shared" si="4"/>
        <v>0</v>
      </c>
      <c r="AZ40" s="117"/>
    </row>
    <row r="41" spans="1:52" s="14" customFormat="1" ht="14">
      <c r="AR41" s="117" t="str">
        <f t="shared" si="1"/>
        <v/>
      </c>
      <c r="AS41" s="183">
        <f t="shared" si="5"/>
        <v>0</v>
      </c>
      <c r="AT41" s="183"/>
      <c r="AU41" s="183">
        <f t="shared" si="2"/>
        <v>0</v>
      </c>
      <c r="AV41" s="183">
        <f t="shared" si="6"/>
        <v>0</v>
      </c>
      <c r="AW41" s="117">
        <f t="shared" si="7"/>
        <v>0</v>
      </c>
      <c r="AX41" s="184">
        <f t="shared" si="8"/>
        <v>0</v>
      </c>
      <c r="AY41" s="117">
        <f t="shared" si="4"/>
        <v>0</v>
      </c>
      <c r="AZ41" s="117"/>
    </row>
    <row r="42" spans="1:52" s="14" customFormat="1" ht="14">
      <c r="AR42" s="117" t="str">
        <f t="shared" si="1"/>
        <v/>
      </c>
      <c r="AS42" s="183">
        <f t="shared" si="5"/>
        <v>0</v>
      </c>
      <c r="AT42" s="183"/>
      <c r="AU42" s="183">
        <f t="shared" si="2"/>
        <v>0</v>
      </c>
      <c r="AV42" s="183">
        <f t="shared" si="6"/>
        <v>0</v>
      </c>
      <c r="AW42" s="117">
        <f t="shared" si="7"/>
        <v>0</v>
      </c>
      <c r="AX42" s="184">
        <f t="shared" si="8"/>
        <v>0</v>
      </c>
      <c r="AY42" s="117">
        <f t="shared" si="4"/>
        <v>0</v>
      </c>
      <c r="AZ42" s="117"/>
    </row>
    <row r="43" spans="1:52" s="14" customFormat="1" ht="14">
      <c r="AR43" s="117" t="str">
        <f t="shared" si="1"/>
        <v/>
      </c>
      <c r="AS43" s="183">
        <f t="shared" si="5"/>
        <v>0</v>
      </c>
      <c r="AT43" s="183"/>
      <c r="AU43" s="183">
        <f t="shared" si="2"/>
        <v>0</v>
      </c>
      <c r="AV43" s="183">
        <f t="shared" si="6"/>
        <v>0</v>
      </c>
      <c r="AW43" s="117">
        <f t="shared" si="7"/>
        <v>0</v>
      </c>
      <c r="AX43" s="184">
        <f t="shared" si="8"/>
        <v>0</v>
      </c>
      <c r="AY43" s="117">
        <f t="shared" si="4"/>
        <v>0</v>
      </c>
      <c r="AZ43" s="117"/>
    </row>
    <row r="44" spans="1:52" s="14" customFormat="1" ht="14">
      <c r="AR44" s="117" t="str">
        <f t="shared" si="1"/>
        <v/>
      </c>
      <c r="AS44" s="183">
        <f t="shared" si="5"/>
        <v>0</v>
      </c>
      <c r="AT44" s="183"/>
      <c r="AU44" s="183">
        <f t="shared" si="2"/>
        <v>0</v>
      </c>
      <c r="AV44" s="183">
        <f t="shared" si="6"/>
        <v>0</v>
      </c>
      <c r="AW44" s="117">
        <f t="shared" si="7"/>
        <v>0</v>
      </c>
      <c r="AX44" s="184">
        <f t="shared" si="8"/>
        <v>0</v>
      </c>
      <c r="AY44" s="117">
        <f t="shared" si="4"/>
        <v>0</v>
      </c>
      <c r="AZ44" s="117"/>
    </row>
    <row r="45" spans="1:52" s="14" customFormat="1" ht="14">
      <c r="AR45" s="117" t="str">
        <f t="shared" si="1"/>
        <v/>
      </c>
      <c r="AS45" s="183">
        <f t="shared" si="5"/>
        <v>0</v>
      </c>
      <c r="AT45" s="183"/>
      <c r="AU45" s="183">
        <f t="shared" si="2"/>
        <v>0</v>
      </c>
      <c r="AV45" s="183">
        <f t="shared" si="6"/>
        <v>0</v>
      </c>
      <c r="AW45" s="117">
        <f t="shared" si="7"/>
        <v>0</v>
      </c>
      <c r="AX45" s="184">
        <f t="shared" si="8"/>
        <v>0</v>
      </c>
      <c r="AY45" s="117">
        <f t="shared" si="4"/>
        <v>0</v>
      </c>
      <c r="AZ45" s="117"/>
    </row>
    <row r="46" spans="1:52" s="14" customFormat="1" ht="14">
      <c r="AR46" s="117" t="str">
        <f t="shared" si="1"/>
        <v/>
      </c>
      <c r="AS46" s="183">
        <f t="shared" si="5"/>
        <v>0</v>
      </c>
      <c r="AT46" s="183"/>
      <c r="AU46" s="183">
        <f t="shared" si="2"/>
        <v>0</v>
      </c>
      <c r="AV46" s="183">
        <f t="shared" si="6"/>
        <v>0</v>
      </c>
      <c r="AW46" s="117">
        <f t="shared" si="7"/>
        <v>0</v>
      </c>
      <c r="AX46" s="184">
        <f t="shared" si="8"/>
        <v>0</v>
      </c>
      <c r="AY46" s="117">
        <f t="shared" si="4"/>
        <v>0</v>
      </c>
      <c r="AZ46" s="117"/>
    </row>
    <row r="47" spans="1:52" s="14" customFormat="1" ht="14">
      <c r="AR47" s="117" t="str">
        <f t="shared" si="1"/>
        <v/>
      </c>
      <c r="AS47" s="183">
        <f t="shared" si="5"/>
        <v>0</v>
      </c>
      <c r="AT47" s="183"/>
      <c r="AU47" s="183">
        <f t="shared" si="2"/>
        <v>0</v>
      </c>
      <c r="AV47" s="183">
        <f t="shared" si="6"/>
        <v>0</v>
      </c>
      <c r="AW47" s="117">
        <f t="shared" si="7"/>
        <v>0</v>
      </c>
      <c r="AX47" s="184">
        <f t="shared" si="8"/>
        <v>0</v>
      </c>
      <c r="AY47" s="117">
        <f t="shared" si="4"/>
        <v>0</v>
      </c>
      <c r="AZ47" s="117"/>
    </row>
    <row r="48" spans="1:52" s="14" customFormat="1" ht="14">
      <c r="AR48" s="117" t="str">
        <f t="shared" si="1"/>
        <v/>
      </c>
      <c r="AS48" s="183">
        <f t="shared" si="5"/>
        <v>0</v>
      </c>
      <c r="AT48" s="183"/>
      <c r="AU48" s="183">
        <f t="shared" si="2"/>
        <v>0</v>
      </c>
      <c r="AV48" s="183">
        <f t="shared" si="6"/>
        <v>0</v>
      </c>
      <c r="AW48" s="117">
        <f t="shared" si="7"/>
        <v>0</v>
      </c>
      <c r="AX48" s="184">
        <f t="shared" si="8"/>
        <v>0</v>
      </c>
      <c r="AY48" s="117">
        <f t="shared" si="4"/>
        <v>0</v>
      </c>
      <c r="AZ48" s="117"/>
    </row>
    <row r="49" spans="44:52" s="14" customFormat="1" ht="14">
      <c r="AR49" s="117" t="str">
        <f t="shared" si="1"/>
        <v/>
      </c>
      <c r="AS49" s="183">
        <f t="shared" si="5"/>
        <v>0</v>
      </c>
      <c r="AT49" s="183"/>
      <c r="AU49" s="183">
        <f t="shared" si="2"/>
        <v>0</v>
      </c>
      <c r="AV49" s="183">
        <f t="shared" si="6"/>
        <v>0</v>
      </c>
      <c r="AW49" s="117">
        <f t="shared" si="7"/>
        <v>0</v>
      </c>
      <c r="AX49" s="184">
        <f t="shared" si="8"/>
        <v>0</v>
      </c>
      <c r="AY49" s="117">
        <f t="shared" si="4"/>
        <v>0</v>
      </c>
      <c r="AZ49" s="117"/>
    </row>
    <row r="50" spans="44:52" s="14" customFormat="1" ht="14">
      <c r="AR50" s="117" t="str">
        <f t="shared" si="1"/>
        <v/>
      </c>
      <c r="AS50" s="183">
        <f t="shared" si="5"/>
        <v>0</v>
      </c>
      <c r="AT50" s="183"/>
      <c r="AU50" s="183">
        <f t="shared" si="2"/>
        <v>0</v>
      </c>
      <c r="AV50" s="183">
        <f t="shared" si="6"/>
        <v>0</v>
      </c>
      <c r="AW50" s="117">
        <f t="shared" si="7"/>
        <v>0</v>
      </c>
      <c r="AX50" s="184">
        <f t="shared" si="8"/>
        <v>0</v>
      </c>
      <c r="AY50" s="117">
        <f t="shared" si="4"/>
        <v>0</v>
      </c>
      <c r="AZ50" s="117"/>
    </row>
    <row r="51" spans="44:52" s="14" customFormat="1" ht="14">
      <c r="AR51" s="117" t="str">
        <f t="shared" si="1"/>
        <v/>
      </c>
      <c r="AS51" s="183">
        <f t="shared" si="5"/>
        <v>0</v>
      </c>
      <c r="AT51" s="183"/>
      <c r="AU51" s="183">
        <f t="shared" si="2"/>
        <v>0</v>
      </c>
      <c r="AV51" s="183">
        <f t="shared" si="6"/>
        <v>0</v>
      </c>
      <c r="AW51" s="117">
        <f t="shared" si="7"/>
        <v>0</v>
      </c>
      <c r="AX51" s="184">
        <f t="shared" si="8"/>
        <v>0</v>
      </c>
      <c r="AY51" s="117">
        <f t="shared" si="4"/>
        <v>0</v>
      </c>
      <c r="AZ51" s="117"/>
    </row>
    <row r="52" spans="44:52" s="14" customFormat="1" ht="14">
      <c r="AR52" s="117" t="str">
        <f t="shared" si="1"/>
        <v/>
      </c>
      <c r="AS52" s="183">
        <f t="shared" si="5"/>
        <v>0</v>
      </c>
      <c r="AT52" s="183"/>
      <c r="AU52" s="183">
        <f t="shared" si="2"/>
        <v>0</v>
      </c>
      <c r="AV52" s="183">
        <f t="shared" si="6"/>
        <v>0</v>
      </c>
      <c r="AW52" s="117">
        <f t="shared" si="7"/>
        <v>0</v>
      </c>
      <c r="AX52" s="184">
        <f t="shared" si="8"/>
        <v>0</v>
      </c>
      <c r="AY52" s="117">
        <f t="shared" si="4"/>
        <v>0</v>
      </c>
      <c r="AZ52" s="117"/>
    </row>
    <row r="53" spans="44:52" s="14" customFormat="1" ht="14">
      <c r="AR53" s="117" t="str">
        <f t="shared" si="1"/>
        <v/>
      </c>
      <c r="AS53" s="183">
        <f t="shared" si="5"/>
        <v>0</v>
      </c>
      <c r="AT53" s="183"/>
      <c r="AU53" s="183">
        <f t="shared" si="2"/>
        <v>0</v>
      </c>
      <c r="AV53" s="183">
        <f t="shared" si="6"/>
        <v>0</v>
      </c>
      <c r="AW53" s="117">
        <f t="shared" si="7"/>
        <v>0</v>
      </c>
      <c r="AX53" s="184">
        <f t="shared" si="8"/>
        <v>0</v>
      </c>
      <c r="AY53" s="117">
        <f t="shared" si="4"/>
        <v>0</v>
      </c>
      <c r="AZ53" s="117"/>
    </row>
    <row r="54" spans="44:52" s="14" customFormat="1" ht="14">
      <c r="AR54" s="117" t="str">
        <f t="shared" si="1"/>
        <v/>
      </c>
      <c r="AS54" s="183">
        <f t="shared" si="5"/>
        <v>0</v>
      </c>
      <c r="AT54" s="183"/>
      <c r="AU54" s="183">
        <f t="shared" si="2"/>
        <v>0</v>
      </c>
      <c r="AV54" s="183">
        <f t="shared" si="6"/>
        <v>0</v>
      </c>
      <c r="AW54" s="117">
        <f t="shared" si="7"/>
        <v>0</v>
      </c>
      <c r="AX54" s="184">
        <f t="shared" si="8"/>
        <v>0</v>
      </c>
      <c r="AY54" s="117">
        <f t="shared" si="4"/>
        <v>0</v>
      </c>
      <c r="AZ54" s="117"/>
    </row>
    <row r="55" spans="44:52" s="14" customFormat="1" ht="14">
      <c r="AR55" s="117" t="str">
        <f t="shared" si="1"/>
        <v/>
      </c>
      <c r="AS55" s="183">
        <f t="shared" si="5"/>
        <v>0</v>
      </c>
      <c r="AT55" s="183"/>
      <c r="AU55" s="183">
        <f t="shared" si="2"/>
        <v>0</v>
      </c>
      <c r="AV55" s="183">
        <f t="shared" si="6"/>
        <v>0</v>
      </c>
      <c r="AW55" s="117">
        <f t="shared" si="7"/>
        <v>0</v>
      </c>
      <c r="AX55" s="184">
        <f t="shared" si="8"/>
        <v>0</v>
      </c>
      <c r="AY55" s="117">
        <f t="shared" si="4"/>
        <v>0</v>
      </c>
      <c r="AZ55" s="117"/>
    </row>
    <row r="56" spans="44:52" s="14" customFormat="1" ht="14">
      <c r="AR56" s="117" t="str">
        <f t="shared" si="1"/>
        <v/>
      </c>
      <c r="AS56" s="183">
        <f t="shared" si="5"/>
        <v>0</v>
      </c>
      <c r="AT56" s="183"/>
      <c r="AU56" s="183">
        <f t="shared" si="2"/>
        <v>0</v>
      </c>
      <c r="AV56" s="183">
        <f t="shared" si="6"/>
        <v>0</v>
      </c>
      <c r="AW56" s="117">
        <f t="shared" si="7"/>
        <v>0</v>
      </c>
      <c r="AX56" s="184">
        <f t="shared" si="8"/>
        <v>0</v>
      </c>
      <c r="AY56" s="117">
        <f t="shared" si="4"/>
        <v>0</v>
      </c>
      <c r="AZ56" s="117"/>
    </row>
    <row r="57" spans="44:52" s="14" customFormat="1" ht="14">
      <c r="AR57" s="117" t="str">
        <f t="shared" si="1"/>
        <v/>
      </c>
      <c r="AS57" s="183">
        <f t="shared" si="5"/>
        <v>0</v>
      </c>
      <c r="AT57" s="183"/>
      <c r="AU57" s="183">
        <f t="shared" si="2"/>
        <v>0</v>
      </c>
      <c r="AV57" s="183">
        <f t="shared" si="6"/>
        <v>0</v>
      </c>
      <c r="AW57" s="117">
        <f t="shared" si="7"/>
        <v>0</v>
      </c>
      <c r="AX57" s="184">
        <f t="shared" si="8"/>
        <v>0</v>
      </c>
      <c r="AY57" s="117">
        <f t="shared" si="4"/>
        <v>0</v>
      </c>
      <c r="AZ57" s="117"/>
    </row>
    <row r="58" spans="44:52" s="14" customFormat="1" ht="14">
      <c r="AR58" s="117" t="str">
        <f t="shared" si="1"/>
        <v/>
      </c>
      <c r="AS58" s="183">
        <f t="shared" si="5"/>
        <v>0</v>
      </c>
      <c r="AT58" s="183"/>
      <c r="AU58" s="183">
        <f t="shared" si="2"/>
        <v>0</v>
      </c>
      <c r="AV58" s="183">
        <f t="shared" si="6"/>
        <v>0</v>
      </c>
      <c r="AW58" s="117">
        <f t="shared" si="7"/>
        <v>0</v>
      </c>
      <c r="AX58" s="184">
        <f t="shared" si="8"/>
        <v>0</v>
      </c>
      <c r="AY58" s="117">
        <f t="shared" si="4"/>
        <v>0</v>
      </c>
      <c r="AZ58" s="117"/>
    </row>
    <row r="59" spans="44:52" s="14" customFormat="1" ht="14">
      <c r="AR59" s="117" t="str">
        <f t="shared" si="1"/>
        <v/>
      </c>
      <c r="AS59" s="183">
        <f t="shared" si="5"/>
        <v>0</v>
      </c>
      <c r="AT59" s="183"/>
      <c r="AU59" s="183">
        <f t="shared" si="2"/>
        <v>0</v>
      </c>
      <c r="AV59" s="183">
        <f t="shared" si="6"/>
        <v>0</v>
      </c>
      <c r="AW59" s="117">
        <f t="shared" si="7"/>
        <v>0</v>
      </c>
      <c r="AX59" s="184">
        <f t="shared" si="8"/>
        <v>0</v>
      </c>
      <c r="AY59" s="117">
        <f t="shared" si="4"/>
        <v>0</v>
      </c>
      <c r="AZ59" s="117"/>
    </row>
    <row r="60" spans="44:52" s="14" customFormat="1" ht="14">
      <c r="AR60" s="117" t="str">
        <f t="shared" si="1"/>
        <v/>
      </c>
      <c r="AS60" s="183">
        <f t="shared" si="5"/>
        <v>0</v>
      </c>
      <c r="AT60" s="183"/>
      <c r="AU60" s="183">
        <f t="shared" si="2"/>
        <v>0</v>
      </c>
      <c r="AV60" s="183">
        <f t="shared" si="6"/>
        <v>0</v>
      </c>
      <c r="AW60" s="117">
        <f t="shared" si="7"/>
        <v>0</v>
      </c>
      <c r="AX60" s="184">
        <f t="shared" si="8"/>
        <v>0</v>
      </c>
      <c r="AY60" s="117">
        <f t="shared" si="4"/>
        <v>0</v>
      </c>
      <c r="AZ60" s="117"/>
    </row>
    <row r="61" spans="44:52" s="14" customFormat="1" ht="14">
      <c r="AR61" s="117" t="str">
        <f t="shared" si="1"/>
        <v/>
      </c>
      <c r="AS61" s="183">
        <f t="shared" si="5"/>
        <v>0</v>
      </c>
      <c r="AT61" s="183"/>
      <c r="AU61" s="183">
        <f t="shared" si="2"/>
        <v>0</v>
      </c>
      <c r="AV61" s="183">
        <f t="shared" si="6"/>
        <v>0</v>
      </c>
      <c r="AW61" s="117">
        <f t="shared" si="7"/>
        <v>0</v>
      </c>
      <c r="AX61" s="184">
        <f t="shared" si="8"/>
        <v>0</v>
      </c>
      <c r="AY61" s="117">
        <f t="shared" si="4"/>
        <v>0</v>
      </c>
      <c r="AZ61" s="117"/>
    </row>
    <row r="62" spans="44:52" s="14" customFormat="1" ht="14">
      <c r="AR62" s="117" t="str">
        <f t="shared" si="1"/>
        <v/>
      </c>
      <c r="AS62" s="183">
        <f t="shared" si="5"/>
        <v>0</v>
      </c>
      <c r="AT62" s="183"/>
      <c r="AU62" s="183">
        <f t="shared" si="2"/>
        <v>0</v>
      </c>
      <c r="AV62" s="183">
        <f t="shared" si="6"/>
        <v>0</v>
      </c>
      <c r="AW62" s="117">
        <f t="shared" si="7"/>
        <v>0</v>
      </c>
      <c r="AX62" s="184">
        <f t="shared" si="8"/>
        <v>0</v>
      </c>
      <c r="AY62" s="117">
        <f t="shared" si="4"/>
        <v>0</v>
      </c>
      <c r="AZ62" s="117"/>
    </row>
    <row r="63" spans="44:52" s="14" customFormat="1" ht="14">
      <c r="AR63" s="117" t="str">
        <f t="shared" si="1"/>
        <v/>
      </c>
      <c r="AS63" s="183">
        <f t="shared" si="5"/>
        <v>0</v>
      </c>
      <c r="AT63" s="183"/>
      <c r="AU63" s="183">
        <f t="shared" si="2"/>
        <v>0</v>
      </c>
      <c r="AV63" s="183">
        <f t="shared" si="6"/>
        <v>0</v>
      </c>
      <c r="AW63" s="117">
        <f t="shared" si="7"/>
        <v>0</v>
      </c>
      <c r="AX63" s="184">
        <f t="shared" si="8"/>
        <v>0</v>
      </c>
      <c r="AY63" s="117">
        <f t="shared" si="4"/>
        <v>0</v>
      </c>
      <c r="AZ63" s="117"/>
    </row>
    <row r="64" spans="44:52" s="14" customFormat="1" ht="14">
      <c r="AR64" s="117" t="str">
        <f t="shared" si="1"/>
        <v/>
      </c>
      <c r="AS64" s="183">
        <f t="shared" si="5"/>
        <v>0</v>
      </c>
      <c r="AT64" s="183"/>
      <c r="AU64" s="183">
        <f t="shared" si="2"/>
        <v>0</v>
      </c>
      <c r="AV64" s="183">
        <f t="shared" si="6"/>
        <v>0</v>
      </c>
      <c r="AW64" s="117">
        <f t="shared" si="7"/>
        <v>0</v>
      </c>
      <c r="AX64" s="184">
        <f t="shared" si="8"/>
        <v>0</v>
      </c>
      <c r="AY64" s="117">
        <f t="shared" si="4"/>
        <v>0</v>
      </c>
      <c r="AZ64" s="117"/>
    </row>
    <row r="65" spans="44:52" s="14" customFormat="1" ht="14">
      <c r="AR65" s="117" t="str">
        <f t="shared" si="1"/>
        <v/>
      </c>
      <c r="AS65" s="183">
        <f t="shared" si="5"/>
        <v>0</v>
      </c>
      <c r="AT65" s="183"/>
      <c r="AU65" s="183">
        <f t="shared" si="2"/>
        <v>0</v>
      </c>
      <c r="AV65" s="183">
        <f t="shared" si="6"/>
        <v>0</v>
      </c>
      <c r="AW65" s="117">
        <f t="shared" si="7"/>
        <v>0</v>
      </c>
      <c r="AX65" s="184">
        <f t="shared" si="8"/>
        <v>0</v>
      </c>
      <c r="AY65" s="117">
        <f t="shared" si="4"/>
        <v>0</v>
      </c>
      <c r="AZ65" s="117"/>
    </row>
    <row r="66" spans="44:52" s="14" customFormat="1" ht="14">
      <c r="AR66" s="117" t="str">
        <f t="shared" si="1"/>
        <v/>
      </c>
      <c r="AS66" s="183">
        <f t="shared" si="5"/>
        <v>0</v>
      </c>
      <c r="AT66" s="183"/>
      <c r="AU66" s="183">
        <f t="shared" si="2"/>
        <v>0</v>
      </c>
      <c r="AV66" s="183">
        <f t="shared" si="6"/>
        <v>0</v>
      </c>
      <c r="AW66" s="117">
        <f t="shared" si="7"/>
        <v>0</v>
      </c>
      <c r="AX66" s="184">
        <f t="shared" si="8"/>
        <v>0</v>
      </c>
      <c r="AY66" s="117">
        <f t="shared" si="4"/>
        <v>0</v>
      </c>
      <c r="AZ66" s="117"/>
    </row>
    <row r="67" spans="44:52" s="14" customFormat="1" ht="14">
      <c r="AR67" s="117" t="str">
        <f t="shared" si="1"/>
        <v/>
      </c>
      <c r="AS67" s="183">
        <f t="shared" si="5"/>
        <v>0</v>
      </c>
      <c r="AT67" s="183"/>
      <c r="AU67" s="183">
        <f t="shared" si="2"/>
        <v>0</v>
      </c>
      <c r="AV67" s="183">
        <f t="shared" si="6"/>
        <v>0</v>
      </c>
      <c r="AW67" s="117">
        <f t="shared" si="7"/>
        <v>0</v>
      </c>
      <c r="AX67" s="184">
        <f t="shared" si="8"/>
        <v>0</v>
      </c>
      <c r="AY67" s="117">
        <f t="shared" si="4"/>
        <v>0</v>
      </c>
      <c r="AZ67" s="117"/>
    </row>
    <row r="68" spans="44:52" s="14" customFormat="1" ht="14">
      <c r="AR68" s="117" t="str">
        <f t="shared" si="1"/>
        <v/>
      </c>
      <c r="AS68" s="183">
        <f t="shared" si="5"/>
        <v>0</v>
      </c>
      <c r="AT68" s="183"/>
      <c r="AU68" s="183">
        <f t="shared" si="2"/>
        <v>0</v>
      </c>
      <c r="AV68" s="183">
        <f t="shared" si="6"/>
        <v>0</v>
      </c>
      <c r="AW68" s="117">
        <f t="shared" si="7"/>
        <v>0</v>
      </c>
      <c r="AX68" s="184">
        <f t="shared" si="8"/>
        <v>0</v>
      </c>
      <c r="AY68" s="117">
        <f t="shared" si="4"/>
        <v>0</v>
      </c>
      <c r="AZ68" s="117"/>
    </row>
    <row r="69" spans="44:52" s="14" customFormat="1" ht="14">
      <c r="AR69" s="117" t="str">
        <f t="shared" ref="AR69:AR113" si="9">IF(AR68&lt;$D$14,AR68+1,"")</f>
        <v/>
      </c>
      <c r="AS69" s="183">
        <f t="shared" si="5"/>
        <v>0</v>
      </c>
      <c r="AT69" s="183"/>
      <c r="AU69" s="183">
        <f t="shared" si="2"/>
        <v>0</v>
      </c>
      <c r="AV69" s="183">
        <f t="shared" si="6"/>
        <v>0</v>
      </c>
      <c r="AW69" s="117">
        <f t="shared" si="7"/>
        <v>0</v>
      </c>
      <c r="AX69" s="184">
        <f t="shared" si="8"/>
        <v>0</v>
      </c>
      <c r="AY69" s="117">
        <f t="shared" si="4"/>
        <v>0</v>
      </c>
      <c r="AZ69" s="117"/>
    </row>
    <row r="70" spans="44:52" s="14" customFormat="1" ht="14">
      <c r="AR70" s="117" t="str">
        <f t="shared" si="9"/>
        <v/>
      </c>
      <c r="AS70" s="183">
        <f t="shared" si="5"/>
        <v>0</v>
      </c>
      <c r="AT70" s="183"/>
      <c r="AU70" s="183">
        <f t="shared" si="2"/>
        <v>0</v>
      </c>
      <c r="AV70" s="183">
        <f t="shared" si="6"/>
        <v>0</v>
      </c>
      <c r="AW70" s="117">
        <f t="shared" si="7"/>
        <v>0</v>
      </c>
      <c r="AX70" s="184">
        <f t="shared" si="8"/>
        <v>0</v>
      </c>
      <c r="AY70" s="117">
        <f t="shared" si="4"/>
        <v>0</v>
      </c>
      <c r="AZ70" s="117"/>
    </row>
    <row r="71" spans="44:52" s="14" customFormat="1" ht="14">
      <c r="AR71" s="117" t="str">
        <f t="shared" si="9"/>
        <v/>
      </c>
      <c r="AS71" s="183">
        <f t="shared" si="5"/>
        <v>0</v>
      </c>
      <c r="AT71" s="183"/>
      <c r="AU71" s="183">
        <f t="shared" ref="AU71:AU113" si="10">$D$10*AS71</f>
        <v>0</v>
      </c>
      <c r="AV71" s="183">
        <f t="shared" si="6"/>
        <v>0</v>
      </c>
      <c r="AW71" s="117">
        <f t="shared" si="7"/>
        <v>0</v>
      </c>
      <c r="AX71" s="184">
        <f t="shared" si="8"/>
        <v>0</v>
      </c>
      <c r="AY71" s="117">
        <f t="shared" ref="AY71:AY113" si="11">IF(ISNUMBER(AR71),AX71/(1+$D$7)^AR71,0)</f>
        <v>0</v>
      </c>
      <c r="AZ71" s="117"/>
    </row>
    <row r="72" spans="44:52" s="14" customFormat="1" ht="14">
      <c r="AR72" s="117" t="str">
        <f t="shared" si="9"/>
        <v/>
      </c>
      <c r="AS72" s="183">
        <f t="shared" ref="AS72:AS113" si="12">IF(ISNUMBER(AR72),AV71,0)</f>
        <v>0</v>
      </c>
      <c r="AT72" s="183"/>
      <c r="AU72" s="183">
        <f t="shared" si="10"/>
        <v>0</v>
      </c>
      <c r="AV72" s="183">
        <f t="shared" ref="AV72:AV113" si="13">AS72</f>
        <v>0</v>
      </c>
      <c r="AW72" s="117">
        <f t="shared" si="7"/>
        <v>0</v>
      </c>
      <c r="AX72" s="184">
        <f t="shared" si="8"/>
        <v>0</v>
      </c>
      <c r="AY72" s="117">
        <f t="shared" si="11"/>
        <v>0</v>
      </c>
      <c r="AZ72" s="117"/>
    </row>
    <row r="73" spans="44:52" s="14" customFormat="1" ht="14">
      <c r="AR73" s="117" t="str">
        <f t="shared" si="9"/>
        <v/>
      </c>
      <c r="AS73" s="183">
        <f t="shared" si="12"/>
        <v>0</v>
      </c>
      <c r="AT73" s="183"/>
      <c r="AU73" s="183">
        <f t="shared" si="10"/>
        <v>0</v>
      </c>
      <c r="AV73" s="183">
        <f t="shared" si="13"/>
        <v>0</v>
      </c>
      <c r="AW73" s="117">
        <f t="shared" si="7"/>
        <v>0</v>
      </c>
      <c r="AX73" s="184">
        <f t="shared" si="8"/>
        <v>0</v>
      </c>
      <c r="AY73" s="117">
        <f t="shared" si="11"/>
        <v>0</v>
      </c>
      <c r="AZ73" s="117"/>
    </row>
    <row r="74" spans="44:52" s="14" customFormat="1" ht="14">
      <c r="AR74" s="117" t="str">
        <f t="shared" si="9"/>
        <v/>
      </c>
      <c r="AS74" s="183">
        <f t="shared" si="12"/>
        <v>0</v>
      </c>
      <c r="AT74" s="183"/>
      <c r="AU74" s="183">
        <f t="shared" si="10"/>
        <v>0</v>
      </c>
      <c r="AV74" s="183">
        <f t="shared" si="13"/>
        <v>0</v>
      </c>
      <c r="AW74" s="117">
        <f t="shared" si="7"/>
        <v>0</v>
      </c>
      <c r="AX74" s="184">
        <f t="shared" si="8"/>
        <v>0</v>
      </c>
      <c r="AY74" s="117">
        <f t="shared" si="11"/>
        <v>0</v>
      </c>
      <c r="AZ74" s="117"/>
    </row>
    <row r="75" spans="44:52" s="14" customFormat="1" ht="14">
      <c r="AR75" s="117" t="str">
        <f t="shared" si="9"/>
        <v/>
      </c>
      <c r="AS75" s="183">
        <f t="shared" si="12"/>
        <v>0</v>
      </c>
      <c r="AT75" s="183"/>
      <c r="AU75" s="183">
        <f t="shared" si="10"/>
        <v>0</v>
      </c>
      <c r="AV75" s="183">
        <f t="shared" si="13"/>
        <v>0</v>
      </c>
      <c r="AW75" s="117">
        <f t="shared" si="7"/>
        <v>0</v>
      </c>
      <c r="AX75" s="184">
        <f t="shared" si="8"/>
        <v>0</v>
      </c>
      <c r="AY75" s="117">
        <f t="shared" si="11"/>
        <v>0</v>
      </c>
      <c r="AZ75" s="117"/>
    </row>
    <row r="76" spans="44:52" s="14" customFormat="1" ht="14">
      <c r="AR76" s="117" t="str">
        <f t="shared" si="9"/>
        <v/>
      </c>
      <c r="AS76" s="183">
        <f t="shared" si="12"/>
        <v>0</v>
      </c>
      <c r="AT76" s="183"/>
      <c r="AU76" s="183">
        <f t="shared" si="10"/>
        <v>0</v>
      </c>
      <c r="AV76" s="183">
        <f t="shared" si="13"/>
        <v>0</v>
      </c>
      <c r="AW76" s="117">
        <f t="shared" si="7"/>
        <v>0</v>
      </c>
      <c r="AX76" s="184">
        <f t="shared" si="8"/>
        <v>0</v>
      </c>
      <c r="AY76" s="117">
        <f t="shared" si="11"/>
        <v>0</v>
      </c>
      <c r="AZ76" s="117"/>
    </row>
    <row r="77" spans="44:52" s="14" customFormat="1" ht="14">
      <c r="AR77" s="117" t="str">
        <f t="shared" si="9"/>
        <v/>
      </c>
      <c r="AS77" s="183">
        <f t="shared" si="12"/>
        <v>0</v>
      </c>
      <c r="AT77" s="183"/>
      <c r="AU77" s="183">
        <f t="shared" si="10"/>
        <v>0</v>
      </c>
      <c r="AV77" s="183">
        <f t="shared" si="13"/>
        <v>0</v>
      </c>
      <c r="AW77" s="117">
        <f t="shared" si="7"/>
        <v>0</v>
      </c>
      <c r="AX77" s="184">
        <f t="shared" si="8"/>
        <v>0</v>
      </c>
      <c r="AY77" s="117">
        <f t="shared" si="11"/>
        <v>0</v>
      </c>
      <c r="AZ77" s="117"/>
    </row>
    <row r="78" spans="44:52" s="14" customFormat="1" ht="14">
      <c r="AR78" s="117" t="str">
        <f t="shared" si="9"/>
        <v/>
      </c>
      <c r="AS78" s="183">
        <f t="shared" si="12"/>
        <v>0</v>
      </c>
      <c r="AT78" s="183"/>
      <c r="AU78" s="183">
        <f t="shared" si="10"/>
        <v>0</v>
      </c>
      <c r="AV78" s="183">
        <f t="shared" si="13"/>
        <v>0</v>
      </c>
      <c r="AW78" s="117">
        <f t="shared" si="7"/>
        <v>0</v>
      </c>
      <c r="AX78" s="184">
        <f t="shared" si="8"/>
        <v>0</v>
      </c>
      <c r="AY78" s="117">
        <f t="shared" si="11"/>
        <v>0</v>
      </c>
      <c r="AZ78" s="117"/>
    </row>
    <row r="79" spans="44:52" s="14" customFormat="1" ht="14">
      <c r="AR79" s="117" t="str">
        <f t="shared" si="9"/>
        <v/>
      </c>
      <c r="AS79" s="183">
        <f t="shared" si="12"/>
        <v>0</v>
      </c>
      <c r="AT79" s="183"/>
      <c r="AU79" s="183">
        <f t="shared" si="10"/>
        <v>0</v>
      </c>
      <c r="AV79" s="183">
        <f t="shared" si="13"/>
        <v>0</v>
      </c>
      <c r="AW79" s="117">
        <f t="shared" si="7"/>
        <v>0</v>
      </c>
      <c r="AX79" s="184">
        <f t="shared" si="8"/>
        <v>0</v>
      </c>
      <c r="AY79" s="117">
        <f t="shared" si="11"/>
        <v>0</v>
      </c>
      <c r="AZ79" s="117"/>
    </row>
    <row r="80" spans="44:52" s="14" customFormat="1" ht="14">
      <c r="AR80" s="117" t="str">
        <f t="shared" si="9"/>
        <v/>
      </c>
      <c r="AS80" s="183">
        <f t="shared" si="12"/>
        <v>0</v>
      </c>
      <c r="AT80" s="183"/>
      <c r="AU80" s="183">
        <f t="shared" si="10"/>
        <v>0</v>
      </c>
      <c r="AV80" s="183">
        <f t="shared" si="13"/>
        <v>0</v>
      </c>
      <c r="AW80" s="117">
        <f t="shared" si="7"/>
        <v>0</v>
      </c>
      <c r="AX80" s="184">
        <f t="shared" si="8"/>
        <v>0</v>
      </c>
      <c r="AY80" s="117">
        <f t="shared" si="11"/>
        <v>0</v>
      </c>
      <c r="AZ80" s="117"/>
    </row>
    <row r="81" spans="44:52" s="14" customFormat="1" ht="14">
      <c r="AR81" s="117" t="str">
        <f t="shared" si="9"/>
        <v/>
      </c>
      <c r="AS81" s="183">
        <f t="shared" si="12"/>
        <v>0</v>
      </c>
      <c r="AT81" s="183"/>
      <c r="AU81" s="183">
        <f t="shared" si="10"/>
        <v>0</v>
      </c>
      <c r="AV81" s="183">
        <f t="shared" si="13"/>
        <v>0</v>
      </c>
      <c r="AW81" s="117">
        <f t="shared" ref="AW81:AW113" si="14">IF(ISNUMBER(AR82),SUM(AT81:AU81),SUM(AT81:AV81))</f>
        <v>0</v>
      </c>
      <c r="AX81" s="184">
        <f t="shared" si="8"/>
        <v>0</v>
      </c>
      <c r="AY81" s="117">
        <f t="shared" si="11"/>
        <v>0</v>
      </c>
      <c r="AZ81" s="117"/>
    </row>
    <row r="82" spans="44:52" s="14" customFormat="1" ht="14">
      <c r="AR82" s="117" t="str">
        <f t="shared" si="9"/>
        <v/>
      </c>
      <c r="AS82" s="183">
        <f t="shared" si="12"/>
        <v>0</v>
      </c>
      <c r="AT82" s="183"/>
      <c r="AU82" s="183">
        <f t="shared" si="10"/>
        <v>0</v>
      </c>
      <c r="AV82" s="183">
        <f t="shared" si="13"/>
        <v>0</v>
      </c>
      <c r="AW82" s="117">
        <f t="shared" si="14"/>
        <v>0</v>
      </c>
      <c r="AX82" s="184">
        <f t="shared" si="8"/>
        <v>0</v>
      </c>
      <c r="AY82" s="117">
        <f t="shared" si="11"/>
        <v>0</v>
      </c>
      <c r="AZ82" s="117"/>
    </row>
    <row r="83" spans="44:52" s="14" customFormat="1" ht="14">
      <c r="AR83" s="117" t="str">
        <f t="shared" si="9"/>
        <v/>
      </c>
      <c r="AS83" s="183">
        <f t="shared" si="12"/>
        <v>0</v>
      </c>
      <c r="AT83" s="183"/>
      <c r="AU83" s="183">
        <f t="shared" si="10"/>
        <v>0</v>
      </c>
      <c r="AV83" s="183">
        <f t="shared" si="13"/>
        <v>0</v>
      </c>
      <c r="AW83" s="117">
        <f t="shared" si="14"/>
        <v>0</v>
      </c>
      <c r="AX83" s="184">
        <f t="shared" si="8"/>
        <v>0</v>
      </c>
      <c r="AY83" s="117">
        <f t="shared" si="11"/>
        <v>0</v>
      </c>
      <c r="AZ83" s="117"/>
    </row>
    <row r="84" spans="44:52" s="14" customFormat="1" ht="14">
      <c r="AR84" s="117" t="str">
        <f t="shared" si="9"/>
        <v/>
      </c>
      <c r="AS84" s="183">
        <f t="shared" si="12"/>
        <v>0</v>
      </c>
      <c r="AT84" s="183"/>
      <c r="AU84" s="183">
        <f t="shared" si="10"/>
        <v>0</v>
      </c>
      <c r="AV84" s="183">
        <f t="shared" si="13"/>
        <v>0</v>
      </c>
      <c r="AW84" s="117">
        <f t="shared" si="14"/>
        <v>0</v>
      </c>
      <c r="AX84" s="184">
        <f t="shared" si="8"/>
        <v>0</v>
      </c>
      <c r="AY84" s="117">
        <f t="shared" si="11"/>
        <v>0</v>
      </c>
      <c r="AZ84" s="117"/>
    </row>
    <row r="85" spans="44:52" s="14" customFormat="1" ht="14">
      <c r="AR85" s="117" t="str">
        <f t="shared" si="9"/>
        <v/>
      </c>
      <c r="AS85" s="183">
        <f t="shared" si="12"/>
        <v>0</v>
      </c>
      <c r="AT85" s="183"/>
      <c r="AU85" s="183">
        <f t="shared" si="10"/>
        <v>0</v>
      </c>
      <c r="AV85" s="183">
        <f t="shared" si="13"/>
        <v>0</v>
      </c>
      <c r="AW85" s="117">
        <f t="shared" si="14"/>
        <v>0</v>
      </c>
      <c r="AX85" s="184">
        <f t="shared" si="8"/>
        <v>0</v>
      </c>
      <c r="AY85" s="117">
        <f t="shared" si="11"/>
        <v>0</v>
      </c>
      <c r="AZ85" s="117"/>
    </row>
    <row r="86" spans="44:52" s="14" customFormat="1" ht="14">
      <c r="AR86" s="117" t="str">
        <f t="shared" si="9"/>
        <v/>
      </c>
      <c r="AS86" s="183">
        <f t="shared" si="12"/>
        <v>0</v>
      </c>
      <c r="AT86" s="183"/>
      <c r="AU86" s="183">
        <f t="shared" si="10"/>
        <v>0</v>
      </c>
      <c r="AV86" s="183">
        <f t="shared" si="13"/>
        <v>0</v>
      </c>
      <c r="AW86" s="117">
        <f t="shared" si="14"/>
        <v>0</v>
      </c>
      <c r="AX86" s="184">
        <f t="shared" si="8"/>
        <v>0</v>
      </c>
      <c r="AY86" s="117">
        <f t="shared" si="11"/>
        <v>0</v>
      </c>
      <c r="AZ86" s="117"/>
    </row>
    <row r="87" spans="44:52" s="14" customFormat="1" ht="14">
      <c r="AR87" s="117" t="str">
        <f t="shared" si="9"/>
        <v/>
      </c>
      <c r="AS87" s="183">
        <f t="shared" si="12"/>
        <v>0</v>
      </c>
      <c r="AT87" s="183"/>
      <c r="AU87" s="183">
        <f t="shared" si="10"/>
        <v>0</v>
      </c>
      <c r="AV87" s="183">
        <f t="shared" si="13"/>
        <v>0</v>
      </c>
      <c r="AW87" s="117">
        <f t="shared" si="14"/>
        <v>0</v>
      </c>
      <c r="AX87" s="184">
        <f t="shared" si="8"/>
        <v>0</v>
      </c>
      <c r="AY87" s="117">
        <f t="shared" si="11"/>
        <v>0</v>
      </c>
      <c r="AZ87" s="117"/>
    </row>
    <row r="88" spans="44:52" s="14" customFormat="1" ht="14">
      <c r="AR88" s="117" t="str">
        <f t="shared" si="9"/>
        <v/>
      </c>
      <c r="AS88" s="183">
        <f t="shared" si="12"/>
        <v>0</v>
      </c>
      <c r="AT88" s="183"/>
      <c r="AU88" s="183">
        <f t="shared" si="10"/>
        <v>0</v>
      </c>
      <c r="AV88" s="183">
        <f t="shared" si="13"/>
        <v>0</v>
      </c>
      <c r="AW88" s="117">
        <f t="shared" si="14"/>
        <v>0</v>
      </c>
      <c r="AX88" s="184">
        <f t="shared" si="8"/>
        <v>0</v>
      </c>
      <c r="AY88" s="117">
        <f t="shared" si="11"/>
        <v>0</v>
      </c>
      <c r="AZ88" s="117"/>
    </row>
    <row r="89" spans="44:52" s="14" customFormat="1" ht="14">
      <c r="AR89" s="117" t="str">
        <f t="shared" si="9"/>
        <v/>
      </c>
      <c r="AS89" s="183">
        <f t="shared" si="12"/>
        <v>0</v>
      </c>
      <c r="AT89" s="183"/>
      <c r="AU89" s="183">
        <f t="shared" si="10"/>
        <v>0</v>
      </c>
      <c r="AV89" s="183">
        <f t="shared" si="13"/>
        <v>0</v>
      </c>
      <c r="AW89" s="117">
        <f t="shared" si="14"/>
        <v>0</v>
      </c>
      <c r="AX89" s="184">
        <f t="shared" si="8"/>
        <v>0</v>
      </c>
      <c r="AY89" s="117">
        <f t="shared" si="11"/>
        <v>0</v>
      </c>
      <c r="AZ89" s="117"/>
    </row>
    <row r="90" spans="44:52" s="14" customFormat="1" ht="14">
      <c r="AR90" s="117" t="str">
        <f t="shared" si="9"/>
        <v/>
      </c>
      <c r="AS90" s="183">
        <f t="shared" si="12"/>
        <v>0</v>
      </c>
      <c r="AT90" s="183"/>
      <c r="AU90" s="183">
        <f t="shared" si="10"/>
        <v>0</v>
      </c>
      <c r="AV90" s="183">
        <f t="shared" si="13"/>
        <v>0</v>
      </c>
      <c r="AW90" s="117">
        <f t="shared" si="14"/>
        <v>0</v>
      </c>
      <c r="AX90" s="184">
        <f t="shared" si="8"/>
        <v>0</v>
      </c>
      <c r="AY90" s="117">
        <f t="shared" si="11"/>
        <v>0</v>
      </c>
      <c r="AZ90" s="117"/>
    </row>
    <row r="91" spans="44:52" s="14" customFormat="1" ht="14">
      <c r="AR91" s="117" t="str">
        <f t="shared" si="9"/>
        <v/>
      </c>
      <c r="AS91" s="183">
        <f t="shared" si="12"/>
        <v>0</v>
      </c>
      <c r="AT91" s="183"/>
      <c r="AU91" s="183">
        <f t="shared" si="10"/>
        <v>0</v>
      </c>
      <c r="AV91" s="183">
        <f t="shared" si="13"/>
        <v>0</v>
      </c>
      <c r="AW91" s="117">
        <f t="shared" si="14"/>
        <v>0</v>
      </c>
      <c r="AX91" s="184">
        <f t="shared" si="8"/>
        <v>0</v>
      </c>
      <c r="AY91" s="117">
        <f t="shared" si="11"/>
        <v>0</v>
      </c>
      <c r="AZ91" s="117"/>
    </row>
    <row r="92" spans="44:52" s="14" customFormat="1" ht="14">
      <c r="AR92" s="117" t="str">
        <f t="shared" si="9"/>
        <v/>
      </c>
      <c r="AS92" s="183">
        <f t="shared" si="12"/>
        <v>0</v>
      </c>
      <c r="AT92" s="183"/>
      <c r="AU92" s="183">
        <f t="shared" si="10"/>
        <v>0</v>
      </c>
      <c r="AV92" s="183">
        <f t="shared" si="13"/>
        <v>0</v>
      </c>
      <c r="AW92" s="117">
        <f t="shared" si="14"/>
        <v>0</v>
      </c>
      <c r="AX92" s="184">
        <f t="shared" si="8"/>
        <v>0</v>
      </c>
      <c r="AY92" s="117">
        <f t="shared" si="11"/>
        <v>0</v>
      </c>
      <c r="AZ92" s="117"/>
    </row>
    <row r="93" spans="44:52" s="14" customFormat="1" ht="14">
      <c r="AR93" s="117" t="str">
        <f t="shared" si="9"/>
        <v/>
      </c>
      <c r="AS93" s="183">
        <f t="shared" si="12"/>
        <v>0</v>
      </c>
      <c r="AT93" s="183"/>
      <c r="AU93" s="183">
        <f t="shared" si="10"/>
        <v>0</v>
      </c>
      <c r="AV93" s="183">
        <f t="shared" si="13"/>
        <v>0</v>
      </c>
      <c r="AW93" s="117">
        <f t="shared" si="14"/>
        <v>0</v>
      </c>
      <c r="AX93" s="184">
        <f t="shared" si="8"/>
        <v>0</v>
      </c>
      <c r="AY93" s="117">
        <f t="shared" si="11"/>
        <v>0</v>
      </c>
      <c r="AZ93" s="117"/>
    </row>
    <row r="94" spans="44:52" s="14" customFormat="1" ht="14">
      <c r="AR94" s="117" t="str">
        <f t="shared" si="9"/>
        <v/>
      </c>
      <c r="AS94" s="183">
        <f t="shared" si="12"/>
        <v>0</v>
      </c>
      <c r="AT94" s="183"/>
      <c r="AU94" s="183">
        <f t="shared" si="10"/>
        <v>0</v>
      </c>
      <c r="AV94" s="183">
        <f t="shared" si="13"/>
        <v>0</v>
      </c>
      <c r="AW94" s="117">
        <f t="shared" si="14"/>
        <v>0</v>
      </c>
      <c r="AX94" s="184">
        <f t="shared" si="8"/>
        <v>0</v>
      </c>
      <c r="AY94" s="117">
        <f t="shared" si="11"/>
        <v>0</v>
      </c>
      <c r="AZ94" s="117"/>
    </row>
    <row r="95" spans="44:52" s="14" customFormat="1" ht="14">
      <c r="AR95" s="117" t="str">
        <f t="shared" si="9"/>
        <v/>
      </c>
      <c r="AS95" s="183">
        <f t="shared" si="12"/>
        <v>0</v>
      </c>
      <c r="AT95" s="183"/>
      <c r="AU95" s="183">
        <f t="shared" si="10"/>
        <v>0</v>
      </c>
      <c r="AV95" s="183">
        <f t="shared" si="13"/>
        <v>0</v>
      </c>
      <c r="AW95" s="117">
        <f t="shared" si="14"/>
        <v>0</v>
      </c>
      <c r="AX95" s="184">
        <f t="shared" si="8"/>
        <v>0</v>
      </c>
      <c r="AY95" s="117">
        <f t="shared" si="11"/>
        <v>0</v>
      </c>
      <c r="AZ95" s="117"/>
    </row>
    <row r="96" spans="44:52" s="14" customFormat="1" ht="14">
      <c r="AR96" s="117" t="str">
        <f t="shared" si="9"/>
        <v/>
      </c>
      <c r="AS96" s="183">
        <f t="shared" si="12"/>
        <v>0</v>
      </c>
      <c r="AT96" s="183"/>
      <c r="AU96" s="183">
        <f t="shared" si="10"/>
        <v>0</v>
      </c>
      <c r="AV96" s="183">
        <f t="shared" si="13"/>
        <v>0</v>
      </c>
      <c r="AW96" s="117">
        <f t="shared" si="14"/>
        <v>0</v>
      </c>
      <c r="AX96" s="184">
        <f t="shared" si="8"/>
        <v>0</v>
      </c>
      <c r="AY96" s="117">
        <f t="shared" si="11"/>
        <v>0</v>
      </c>
      <c r="AZ96" s="117"/>
    </row>
    <row r="97" spans="44:52" s="14" customFormat="1" ht="14">
      <c r="AR97" s="117" t="str">
        <f t="shared" si="9"/>
        <v/>
      </c>
      <c r="AS97" s="183">
        <f t="shared" si="12"/>
        <v>0</v>
      </c>
      <c r="AT97" s="183"/>
      <c r="AU97" s="183">
        <f t="shared" si="10"/>
        <v>0</v>
      </c>
      <c r="AV97" s="183">
        <f t="shared" si="13"/>
        <v>0</v>
      </c>
      <c r="AW97" s="117">
        <f t="shared" si="14"/>
        <v>0</v>
      </c>
      <c r="AX97" s="184">
        <f t="shared" si="8"/>
        <v>0</v>
      </c>
      <c r="AY97" s="117">
        <f t="shared" si="11"/>
        <v>0</v>
      </c>
      <c r="AZ97" s="117"/>
    </row>
    <row r="98" spans="44:52" s="14" customFormat="1" ht="14">
      <c r="AR98" s="117" t="str">
        <f t="shared" si="9"/>
        <v/>
      </c>
      <c r="AS98" s="183">
        <f t="shared" si="12"/>
        <v>0</v>
      </c>
      <c r="AT98" s="183"/>
      <c r="AU98" s="183">
        <f t="shared" si="10"/>
        <v>0</v>
      </c>
      <c r="AV98" s="183">
        <f t="shared" si="13"/>
        <v>0</v>
      </c>
      <c r="AW98" s="117">
        <f t="shared" si="14"/>
        <v>0</v>
      </c>
      <c r="AX98" s="184">
        <f t="shared" si="8"/>
        <v>0</v>
      </c>
      <c r="AY98" s="117">
        <f t="shared" si="11"/>
        <v>0</v>
      </c>
      <c r="AZ98" s="117"/>
    </row>
    <row r="99" spans="44:52" s="14" customFormat="1" ht="14">
      <c r="AR99" s="117" t="str">
        <f t="shared" si="9"/>
        <v/>
      </c>
      <c r="AS99" s="183">
        <f t="shared" si="12"/>
        <v>0</v>
      </c>
      <c r="AT99" s="183"/>
      <c r="AU99" s="183">
        <f t="shared" si="10"/>
        <v>0</v>
      </c>
      <c r="AV99" s="183">
        <f t="shared" si="13"/>
        <v>0</v>
      </c>
      <c r="AW99" s="117">
        <f t="shared" si="14"/>
        <v>0</v>
      </c>
      <c r="AX99" s="184">
        <f t="shared" si="8"/>
        <v>0</v>
      </c>
      <c r="AY99" s="117">
        <f t="shared" si="11"/>
        <v>0</v>
      </c>
      <c r="AZ99" s="117"/>
    </row>
    <row r="100" spans="44:52" s="14" customFormat="1" ht="14">
      <c r="AR100" s="117" t="str">
        <f t="shared" si="9"/>
        <v/>
      </c>
      <c r="AS100" s="183">
        <f t="shared" si="12"/>
        <v>0</v>
      </c>
      <c r="AT100" s="183"/>
      <c r="AU100" s="183">
        <f t="shared" si="10"/>
        <v>0</v>
      </c>
      <c r="AV100" s="183">
        <f t="shared" si="13"/>
        <v>0</v>
      </c>
      <c r="AW100" s="117">
        <f t="shared" si="14"/>
        <v>0</v>
      </c>
      <c r="AX100" s="184">
        <f t="shared" si="8"/>
        <v>0</v>
      </c>
      <c r="AY100" s="117">
        <f t="shared" si="11"/>
        <v>0</v>
      </c>
      <c r="AZ100" s="117"/>
    </row>
    <row r="101" spans="44:52" s="14" customFormat="1" ht="14">
      <c r="AR101" s="117" t="str">
        <f t="shared" si="9"/>
        <v/>
      </c>
      <c r="AS101" s="183">
        <f t="shared" si="12"/>
        <v>0</v>
      </c>
      <c r="AT101" s="183"/>
      <c r="AU101" s="183">
        <f t="shared" si="10"/>
        <v>0</v>
      </c>
      <c r="AV101" s="183">
        <f t="shared" si="13"/>
        <v>0</v>
      </c>
      <c r="AW101" s="117">
        <f t="shared" si="14"/>
        <v>0</v>
      </c>
      <c r="AX101" s="184">
        <f t="shared" si="8"/>
        <v>0</v>
      </c>
      <c r="AY101" s="117">
        <f t="shared" si="11"/>
        <v>0</v>
      </c>
      <c r="AZ101" s="117"/>
    </row>
    <row r="102" spans="44:52" s="14" customFormat="1" ht="14">
      <c r="AR102" s="117" t="str">
        <f t="shared" si="9"/>
        <v/>
      </c>
      <c r="AS102" s="183">
        <f t="shared" si="12"/>
        <v>0</v>
      </c>
      <c r="AT102" s="183"/>
      <c r="AU102" s="183">
        <f t="shared" si="10"/>
        <v>0</v>
      </c>
      <c r="AV102" s="183">
        <f t="shared" si="13"/>
        <v>0</v>
      </c>
      <c r="AW102" s="117">
        <f t="shared" si="14"/>
        <v>0</v>
      </c>
      <c r="AX102" s="184">
        <f t="shared" ref="AX102:AX113" si="15">LN(AW102+$J$36)-LN($J$36)</f>
        <v>0</v>
      </c>
      <c r="AY102" s="117">
        <f t="shared" si="11"/>
        <v>0</v>
      </c>
      <c r="AZ102" s="117"/>
    </row>
    <row r="103" spans="44:52" s="14" customFormat="1" ht="14">
      <c r="AR103" s="117" t="str">
        <f t="shared" si="9"/>
        <v/>
      </c>
      <c r="AS103" s="183">
        <f t="shared" si="12"/>
        <v>0</v>
      </c>
      <c r="AT103" s="183"/>
      <c r="AU103" s="183">
        <f t="shared" si="10"/>
        <v>0</v>
      </c>
      <c r="AV103" s="183">
        <f t="shared" si="13"/>
        <v>0</v>
      </c>
      <c r="AW103" s="117">
        <f t="shared" si="14"/>
        <v>0</v>
      </c>
      <c r="AX103" s="184">
        <f t="shared" si="15"/>
        <v>0</v>
      </c>
      <c r="AY103" s="117">
        <f t="shared" si="11"/>
        <v>0</v>
      </c>
      <c r="AZ103" s="117"/>
    </row>
    <row r="104" spans="44:52" s="14" customFormat="1" ht="14">
      <c r="AR104" s="117" t="str">
        <f t="shared" si="9"/>
        <v/>
      </c>
      <c r="AS104" s="183">
        <f t="shared" si="12"/>
        <v>0</v>
      </c>
      <c r="AT104" s="183"/>
      <c r="AU104" s="183">
        <f t="shared" si="10"/>
        <v>0</v>
      </c>
      <c r="AV104" s="183">
        <f t="shared" si="13"/>
        <v>0</v>
      </c>
      <c r="AW104" s="117">
        <f t="shared" si="14"/>
        <v>0</v>
      </c>
      <c r="AX104" s="184">
        <f t="shared" si="15"/>
        <v>0</v>
      </c>
      <c r="AY104" s="117">
        <f t="shared" si="11"/>
        <v>0</v>
      </c>
      <c r="AZ104" s="117"/>
    </row>
    <row r="105" spans="44:52" s="14" customFormat="1" ht="14">
      <c r="AR105" s="117" t="str">
        <f t="shared" si="9"/>
        <v/>
      </c>
      <c r="AS105" s="183">
        <f t="shared" si="12"/>
        <v>0</v>
      </c>
      <c r="AT105" s="183"/>
      <c r="AU105" s="183">
        <f t="shared" si="10"/>
        <v>0</v>
      </c>
      <c r="AV105" s="183">
        <f t="shared" si="13"/>
        <v>0</v>
      </c>
      <c r="AW105" s="117">
        <f t="shared" si="14"/>
        <v>0</v>
      </c>
      <c r="AX105" s="184">
        <f t="shared" si="15"/>
        <v>0</v>
      </c>
      <c r="AY105" s="117">
        <f t="shared" si="11"/>
        <v>0</v>
      </c>
      <c r="AZ105" s="117"/>
    </row>
    <row r="106" spans="44:52" s="14" customFormat="1" ht="14">
      <c r="AR106" s="117" t="str">
        <f t="shared" si="9"/>
        <v/>
      </c>
      <c r="AS106" s="183">
        <f t="shared" si="12"/>
        <v>0</v>
      </c>
      <c r="AT106" s="183"/>
      <c r="AU106" s="183">
        <f t="shared" si="10"/>
        <v>0</v>
      </c>
      <c r="AV106" s="183">
        <f t="shared" si="13"/>
        <v>0</v>
      </c>
      <c r="AW106" s="117">
        <f t="shared" si="14"/>
        <v>0</v>
      </c>
      <c r="AX106" s="184">
        <f t="shared" si="15"/>
        <v>0</v>
      </c>
      <c r="AY106" s="117">
        <f t="shared" si="11"/>
        <v>0</v>
      </c>
      <c r="AZ106" s="117"/>
    </row>
    <row r="107" spans="44:52" s="14" customFormat="1" ht="14">
      <c r="AR107" s="117" t="str">
        <f t="shared" si="9"/>
        <v/>
      </c>
      <c r="AS107" s="183">
        <f t="shared" si="12"/>
        <v>0</v>
      </c>
      <c r="AT107" s="183"/>
      <c r="AU107" s="183">
        <f t="shared" si="10"/>
        <v>0</v>
      </c>
      <c r="AV107" s="183">
        <f t="shared" si="13"/>
        <v>0</v>
      </c>
      <c r="AW107" s="117">
        <f t="shared" si="14"/>
        <v>0</v>
      </c>
      <c r="AX107" s="184">
        <f t="shared" si="15"/>
        <v>0</v>
      </c>
      <c r="AY107" s="117">
        <f t="shared" si="11"/>
        <v>0</v>
      </c>
      <c r="AZ107" s="117"/>
    </row>
    <row r="108" spans="44:52" s="14" customFormat="1" ht="14">
      <c r="AR108" s="117" t="str">
        <f t="shared" si="9"/>
        <v/>
      </c>
      <c r="AS108" s="183">
        <f t="shared" si="12"/>
        <v>0</v>
      </c>
      <c r="AT108" s="183"/>
      <c r="AU108" s="183">
        <f t="shared" si="10"/>
        <v>0</v>
      </c>
      <c r="AV108" s="183">
        <f t="shared" si="13"/>
        <v>0</v>
      </c>
      <c r="AW108" s="117">
        <f t="shared" si="14"/>
        <v>0</v>
      </c>
      <c r="AX108" s="184">
        <f t="shared" si="15"/>
        <v>0</v>
      </c>
      <c r="AY108" s="117">
        <f t="shared" si="11"/>
        <v>0</v>
      </c>
      <c r="AZ108" s="117"/>
    </row>
    <row r="109" spans="44:52" s="14" customFormat="1" ht="14">
      <c r="AR109" s="117" t="str">
        <f t="shared" si="9"/>
        <v/>
      </c>
      <c r="AS109" s="183">
        <f t="shared" si="12"/>
        <v>0</v>
      </c>
      <c r="AT109" s="183"/>
      <c r="AU109" s="183">
        <f t="shared" si="10"/>
        <v>0</v>
      </c>
      <c r="AV109" s="183">
        <f t="shared" si="13"/>
        <v>0</v>
      </c>
      <c r="AW109" s="117">
        <f t="shared" si="14"/>
        <v>0</v>
      </c>
      <c r="AX109" s="184">
        <f t="shared" si="15"/>
        <v>0</v>
      </c>
      <c r="AY109" s="117">
        <f t="shared" si="11"/>
        <v>0</v>
      </c>
      <c r="AZ109" s="117"/>
    </row>
    <row r="110" spans="44:52" s="14" customFormat="1" ht="14">
      <c r="AR110" s="117" t="str">
        <f t="shared" si="9"/>
        <v/>
      </c>
      <c r="AS110" s="183">
        <f t="shared" si="12"/>
        <v>0</v>
      </c>
      <c r="AT110" s="183"/>
      <c r="AU110" s="183">
        <f t="shared" si="10"/>
        <v>0</v>
      </c>
      <c r="AV110" s="183">
        <f t="shared" si="13"/>
        <v>0</v>
      </c>
      <c r="AW110" s="117">
        <f t="shared" si="14"/>
        <v>0</v>
      </c>
      <c r="AX110" s="184">
        <f t="shared" si="15"/>
        <v>0</v>
      </c>
      <c r="AY110" s="117">
        <f t="shared" si="11"/>
        <v>0</v>
      </c>
      <c r="AZ110" s="117"/>
    </row>
    <row r="111" spans="44:52" s="14" customFormat="1" ht="14">
      <c r="AR111" s="117" t="str">
        <f t="shared" si="9"/>
        <v/>
      </c>
      <c r="AS111" s="183">
        <f t="shared" si="12"/>
        <v>0</v>
      </c>
      <c r="AT111" s="183"/>
      <c r="AU111" s="183">
        <f t="shared" si="10"/>
        <v>0</v>
      </c>
      <c r="AV111" s="183">
        <f t="shared" si="13"/>
        <v>0</v>
      </c>
      <c r="AW111" s="117">
        <f t="shared" si="14"/>
        <v>0</v>
      </c>
      <c r="AX111" s="184">
        <f t="shared" si="15"/>
        <v>0</v>
      </c>
      <c r="AY111" s="117">
        <f t="shared" si="11"/>
        <v>0</v>
      </c>
      <c r="AZ111" s="117"/>
    </row>
    <row r="112" spans="44:52" s="14" customFormat="1" ht="14">
      <c r="AR112" s="117" t="str">
        <f t="shared" si="9"/>
        <v/>
      </c>
      <c r="AS112" s="183">
        <f t="shared" si="12"/>
        <v>0</v>
      </c>
      <c r="AT112" s="183"/>
      <c r="AU112" s="183">
        <f t="shared" si="10"/>
        <v>0</v>
      </c>
      <c r="AV112" s="183">
        <f t="shared" si="13"/>
        <v>0</v>
      </c>
      <c r="AW112" s="117">
        <f t="shared" si="14"/>
        <v>0</v>
      </c>
      <c r="AX112" s="184">
        <f t="shared" si="15"/>
        <v>0</v>
      </c>
      <c r="AY112" s="117">
        <f t="shared" si="11"/>
        <v>0</v>
      </c>
      <c r="AZ112" s="117"/>
    </row>
    <row r="113" spans="44:52" s="14" customFormat="1" ht="14">
      <c r="AR113" s="117" t="str">
        <f t="shared" si="9"/>
        <v/>
      </c>
      <c r="AS113" s="183">
        <f t="shared" si="12"/>
        <v>0</v>
      </c>
      <c r="AT113" s="183"/>
      <c r="AU113" s="183">
        <f t="shared" si="10"/>
        <v>0</v>
      </c>
      <c r="AV113" s="183">
        <f t="shared" si="13"/>
        <v>0</v>
      </c>
      <c r="AW113" s="117">
        <f t="shared" si="14"/>
        <v>0</v>
      </c>
      <c r="AX113" s="184">
        <f t="shared" si="15"/>
        <v>0</v>
      </c>
      <c r="AY113" s="117">
        <f t="shared" si="11"/>
        <v>0</v>
      </c>
      <c r="AZ113" s="117"/>
    </row>
    <row r="114" spans="44:52" s="14" customFormat="1" ht="14">
      <c r="AZ114" s="117"/>
    </row>
    <row r="115" spans="44:52" s="14" customFormat="1" ht="14">
      <c r="AZ115" s="117"/>
    </row>
    <row r="116" spans="44:52" s="14" customFormat="1" ht="14">
      <c r="AZ116" s="117"/>
    </row>
    <row r="117" spans="44:52" s="14" customFormat="1" ht="14">
      <c r="AZ117" s="117"/>
    </row>
    <row r="118" spans="44:52" ht="14">
      <c r="AZ118"/>
    </row>
  </sheetData>
  <mergeCells count="59">
    <mergeCell ref="G37:Q37"/>
    <mergeCell ref="R37:T37"/>
    <mergeCell ref="B35:B37"/>
    <mergeCell ref="D35:F35"/>
    <mergeCell ref="H35:I35"/>
    <mergeCell ref="J35:N35"/>
    <mergeCell ref="O35:P35"/>
    <mergeCell ref="D36:F36"/>
    <mergeCell ref="H36:I36"/>
    <mergeCell ref="J36:N36"/>
    <mergeCell ref="O36:P36"/>
    <mergeCell ref="D37:F37"/>
    <mergeCell ref="B23:E26"/>
    <mergeCell ref="Q25:Q28"/>
    <mergeCell ref="R29:V29"/>
    <mergeCell ref="R30:V30"/>
    <mergeCell ref="F31:F33"/>
    <mergeCell ref="R31:V31"/>
    <mergeCell ref="F21:F24"/>
    <mergeCell ref="R21:S22"/>
    <mergeCell ref="U21:W22"/>
    <mergeCell ref="Q18:Q19"/>
    <mergeCell ref="T18:U18"/>
    <mergeCell ref="V18:W18"/>
    <mergeCell ref="T19:U19"/>
    <mergeCell ref="V19:W19"/>
    <mergeCell ref="C16:C17"/>
    <mergeCell ref="D16:D17"/>
    <mergeCell ref="F16:F17"/>
    <mergeCell ref="G16:G17"/>
    <mergeCell ref="S16:T16"/>
    <mergeCell ref="T10:U10"/>
    <mergeCell ref="T11:U11"/>
    <mergeCell ref="Q13:Q16"/>
    <mergeCell ref="T13:U13"/>
    <mergeCell ref="B14:B18"/>
    <mergeCell ref="C14:C15"/>
    <mergeCell ref="D14:D15"/>
    <mergeCell ref="F14:F15"/>
    <mergeCell ref="G14:G15"/>
    <mergeCell ref="T14:U14"/>
    <mergeCell ref="B7:B11"/>
    <mergeCell ref="Q8:Q11"/>
    <mergeCell ref="T8:U8"/>
    <mergeCell ref="C9:D9"/>
    <mergeCell ref="T9:U9"/>
    <mergeCell ref="T15:U15"/>
    <mergeCell ref="C6:D6"/>
    <mergeCell ref="I6:J6"/>
    <mergeCell ref="L6:M6"/>
    <mergeCell ref="T6:U6"/>
    <mergeCell ref="V6:W6"/>
    <mergeCell ref="S2:T3"/>
    <mergeCell ref="B4:D5"/>
    <mergeCell ref="F4:G5"/>
    <mergeCell ref="T4:U4"/>
    <mergeCell ref="V4:W4"/>
    <mergeCell ref="T5:U5"/>
    <mergeCell ref="V5:W5"/>
  </mergeCells>
  <hyperlinks>
    <hyperlink ref="G37" r:id="rId1" location="Grantstructure"/>
  </hyperlinks>
  <pageMargins left="0.7" right="0.7" top="0.75" bottom="0.75" header="0.3" footer="0.3"/>
  <pageSetup orientation="portrait"/>
  <drawing r:id="rId2"/>
  <legacyDrawing r:id="rId3"/>
  <extLst>
    <ext xmlns:x14="http://schemas.microsoft.com/office/spreadsheetml/2009/9/main" uri="{CCE6A557-97BC-4b89-ADB6-D9C93CAAB3DF}">
      <x14:dataValidations xmlns:xm="http://schemas.microsoft.com/office/excel/2006/main" count="34">
        <x14:dataValidation type="list" allowBlank="1" showInputMessage="1">
          <x14:formula1>
            <xm:f>Parameters!$C$7:$G$7</xm:f>
          </x14:formula1>
          <xm:sqref>D16:D17</xm:sqref>
        </x14:dataValidation>
        <x14:dataValidation type="list" allowBlank="1" showInputMessage="1">
          <x14:formula1>
            <xm:f>Parameters!$C$25:$G$25</xm:f>
          </x14:formula1>
          <xm:sqref>J14 K15</xm:sqref>
        </x14:dataValidation>
        <x14:dataValidation type="list" allowBlank="1" showInputMessage="1">
          <x14:formula1>
            <xm:f>Parameters!$C$18:$G$18</xm:f>
          </x14:formula1>
          <xm:sqref>J15 K14</xm:sqref>
        </x14:dataValidation>
        <x14:dataValidation type="list" allowBlank="1" showInputMessage="1">
          <x14:formula1>
            <xm:f>Parameters!$C$27:$G$27</xm:f>
          </x14:formula1>
          <xm:sqref>J11 K9</xm:sqref>
        </x14:dataValidation>
        <x14:dataValidation type="list" allowBlank="1" showInputMessage="1">
          <x14:formula1>
            <xm:f>Parameters!$C$28:$G$28</xm:f>
          </x14:formula1>
          <xm:sqref>J9</xm:sqref>
        </x14:dataValidation>
        <x14:dataValidation type="list" allowBlank="1" showInputMessage="1">
          <x14:formula1>
            <xm:f>Parameters!$C$55:$G$55</xm:f>
          </x14:formula1>
          <xm:sqref>M15</xm:sqref>
        </x14:dataValidation>
        <x14:dataValidation type="list" allowBlank="1" showInputMessage="1">
          <x14:formula1>
            <xm:f>Parameters!$C$54:$G$54</xm:f>
          </x14:formula1>
          <xm:sqref>M14</xm:sqref>
        </x14:dataValidation>
        <x14:dataValidation type="list" allowBlank="1" showInputMessage="1">
          <x14:formula1>
            <xm:f>Parameters!$C$53:$G$53</xm:f>
          </x14:formula1>
          <xm:sqref>M13</xm:sqref>
        </x14:dataValidation>
        <x14:dataValidation type="list" allowBlank="1" showInputMessage="1">
          <x14:formula1>
            <xm:f>Parameters!$C$52:$G$52</xm:f>
          </x14:formula1>
          <xm:sqref>M12</xm:sqref>
        </x14:dataValidation>
        <x14:dataValidation type="list" allowBlank="1" showInputMessage="1">
          <x14:formula1>
            <xm:f>Parameters!$C$51:$G$51</xm:f>
          </x14:formula1>
          <xm:sqref>M11</xm:sqref>
        </x14:dataValidation>
        <x14:dataValidation type="list" allowBlank="1" showInputMessage="1">
          <x14:formula1>
            <xm:f>Parameters!$C$50:$G$50</xm:f>
          </x14:formula1>
          <xm:sqref>M10</xm:sqref>
        </x14:dataValidation>
        <x14:dataValidation type="list" allowBlank="1" showInputMessage="1">
          <x14:formula1>
            <xm:f>Parameters!$C$49:$G$49</xm:f>
          </x14:formula1>
          <xm:sqref>M9</xm:sqref>
        </x14:dataValidation>
        <x14:dataValidation type="list" allowBlank="1" showInputMessage="1">
          <x14:formula1>
            <xm:f>Parameters!$C$48:$G$48</xm:f>
          </x14:formula1>
          <xm:sqref>M8</xm:sqref>
        </x14:dataValidation>
        <x14:dataValidation type="list" allowBlank="1" showInputMessage="1">
          <x14:formula1>
            <xm:f>Parameters!$C$47:$G$47</xm:f>
          </x14:formula1>
          <xm:sqref>M7</xm:sqref>
        </x14:dataValidation>
        <x14:dataValidation type="list" allowBlank="1" showInputMessage="1">
          <x14:formula1>
            <xm:f>Parameters!$C$19:$G$19</xm:f>
          </x14:formula1>
          <xm:sqref>J8</xm:sqref>
        </x14:dataValidation>
        <x14:dataValidation type="list" allowBlank="1" showInputMessage="1">
          <x14:formula1>
            <xm:f>Parameters!$D$19:$H$19</xm:f>
          </x14:formula1>
          <xm:sqref>K10</xm:sqref>
        </x14:dataValidation>
        <x14:dataValidation type="list" allowBlank="1" showInputMessage="1">
          <x14:formula1>
            <xm:f>Parameters!$C$26:$G$26</xm:f>
          </x14:formula1>
          <xm:sqref>J7</xm:sqref>
        </x14:dataValidation>
        <x14:dataValidation type="list" allowBlank="1" showInputMessage="1">
          <x14:formula1>
            <xm:f>Parameters!$D$26:$F$26</xm:f>
          </x14:formula1>
          <xm:sqref>K7</xm:sqref>
        </x14:dataValidation>
        <x14:dataValidation type="list" allowBlank="1" showInputMessage="1">
          <x14:formula1>
            <xm:f>Parameters!$C$21:$G$21</xm:f>
          </x14:formula1>
          <xm:sqref>J10</xm:sqref>
        </x14:dataValidation>
        <x14:dataValidation type="list" allowBlank="1" showInputMessage="1">
          <x14:formula1>
            <xm:f>Parameters!$C$24:$G$24</xm:f>
          </x14:formula1>
          <xm:sqref>J16:K16</xm:sqref>
        </x14:dataValidation>
        <x14:dataValidation type="list" allowBlank="1" showInputMessage="1">
          <x14:formula1>
            <xm:f>Parameters!$C$20:$G$20</xm:f>
          </x14:formula1>
          <xm:sqref>J18:K18</xm:sqref>
        </x14:dataValidation>
        <x14:dataValidation type="list" allowBlank="1" showInputMessage="1">
          <x14:formula1>
            <xm:f>Parameters!$C$17:$G$17</xm:f>
          </x14:formula1>
          <xm:sqref>J17:K17</xm:sqref>
        </x14:dataValidation>
        <x14:dataValidation type="list" allowBlank="1" showInputMessage="1">
          <x14:formula1>
            <xm:f>Parameters!$C$10:$G$10</xm:f>
          </x14:formula1>
          <xm:sqref>D7</xm:sqref>
        </x14:dataValidation>
        <x14:dataValidation type="list" allowBlank="1" showInputMessage="1">
          <x14:formula1>
            <xm:f>Parameters!$C$4:$G$4</xm:f>
          </x14:formula1>
          <xm:sqref>D10</xm:sqref>
        </x14:dataValidation>
        <x14:dataValidation type="list" allowBlank="1" showInputMessage="1">
          <x14:formula1>
            <xm:f>Parameters!$C$5:$G$5</xm:f>
          </x14:formula1>
          <xm:sqref>D11</xm:sqref>
        </x14:dataValidation>
        <x14:dataValidation type="list" allowBlank="1" showInputMessage="1">
          <x14:formula1>
            <xm:f>Parameters!$C$6:$G$6</xm:f>
          </x14:formula1>
          <xm:sqref>D14</xm:sqref>
        </x14:dataValidation>
        <x14:dataValidation type="list" allowBlank="1" showInputMessage="1">
          <x14:formula1>
            <xm:f>Parameters!$C$11:$G$11</xm:f>
          </x14:formula1>
          <xm:sqref>G7</xm:sqref>
        </x14:dataValidation>
        <x14:dataValidation type="list" allowBlank="1" showInputMessage="1">
          <x14:formula1>
            <xm:f>Parameters!$C$12:$G$12</xm:f>
          </x14:formula1>
          <xm:sqref>G9</xm:sqref>
        </x14:dataValidation>
        <x14:dataValidation type="list" allowBlank="1" showInputMessage="1">
          <x14:formula1>
            <xm:f>Parameters!$C$38:$G$38</xm:f>
          </x14:formula1>
          <xm:sqref>G11</xm:sqref>
        </x14:dataValidation>
        <x14:dataValidation type="list" allowBlank="1" showInputMessage="1">
          <x14:formula1>
            <xm:f>Parameters!$C$37:$G$37</xm:f>
          </x14:formula1>
          <xm:sqref>G14</xm:sqref>
        </x14:dataValidation>
        <x14:dataValidation type="list" allowBlank="1" showInputMessage="1">
          <x14:formula1>
            <xm:f>Parameters!$C$34:$G$34</xm:f>
          </x14:formula1>
          <xm:sqref>G16</xm:sqref>
        </x14:dataValidation>
        <x14:dataValidation type="list" allowBlank="1" showInputMessage="1">
          <x14:formula1>
            <xm:f>Parameters!$C$36:$G$36</xm:f>
          </x14:formula1>
          <xm:sqref>G18</xm:sqref>
        </x14:dataValidation>
        <x14:dataValidation type="list" allowBlank="1" showInputMessage="1">
          <x14:formula1>
            <xm:f>Parameters!$C$13:$G$13</xm:f>
          </x14:formula1>
          <xm:sqref>G8</xm:sqref>
        </x14:dataValidation>
        <x14:dataValidation type="list" allowBlank="1" showInputMessage="1">
          <x14:formula1>
            <xm:f>Parameters!$C$14:$G$14</xm:f>
          </x14:formula1>
          <xm:sqref>G10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8"/>
  <sheetViews>
    <sheetView tabSelected="1" workbookViewId="0">
      <selection activeCell="B4" sqref="B4:D5"/>
    </sheetView>
  </sheetViews>
  <sheetFormatPr baseColWidth="10" defaultColWidth="8.83203125" defaultRowHeight="11" x14ac:dyDescent="0"/>
  <cols>
    <col min="1" max="1" width="1.5" style="1" customWidth="1"/>
    <col min="2" max="2" width="9.33203125" style="1" customWidth="1"/>
    <col min="3" max="3" width="14.5" style="1" customWidth="1"/>
    <col min="4" max="4" width="5.83203125" style="1" customWidth="1"/>
    <col min="5" max="5" width="1.83203125" style="1" customWidth="1"/>
    <col min="6" max="6" width="18" style="1" customWidth="1"/>
    <col min="7" max="7" width="13.5" style="1" customWidth="1"/>
    <col min="8" max="8" width="1.33203125" style="1" customWidth="1"/>
    <col min="9" max="9" width="16.33203125" style="1" customWidth="1"/>
    <col min="10" max="10" width="8.5" style="1" customWidth="1"/>
    <col min="11" max="11" width="1.6640625" style="1" customWidth="1"/>
    <col min="12" max="12" width="22.83203125" style="1" customWidth="1"/>
    <col min="13" max="13" width="8.5" style="1" customWidth="1"/>
    <col min="14" max="14" width="0.83203125" style="1" customWidth="1"/>
    <col min="15" max="15" width="2.83203125" style="1" customWidth="1"/>
    <col min="16" max="16" width="2.6640625" style="1" customWidth="1"/>
    <col min="17" max="17" width="15.5" style="1" customWidth="1"/>
    <col min="18" max="18" width="30.83203125" style="1" customWidth="1"/>
    <col min="19" max="19" width="23.5" style="1" customWidth="1"/>
    <col min="20" max="20" width="1" style="1" customWidth="1"/>
    <col min="21" max="21" width="24.33203125" style="1" customWidth="1"/>
    <col min="22" max="22" width="10.6640625" style="1" customWidth="1"/>
    <col min="23" max="23" width="12.5" style="1" customWidth="1"/>
    <col min="24" max="24" width="13.6640625" style="1" customWidth="1"/>
    <col min="25" max="25" width="12.83203125" style="1" customWidth="1"/>
    <col min="26" max="16384" width="8.83203125" style="1"/>
  </cols>
  <sheetData>
    <row r="1" spans="1:53" ht="6" customHeight="1" thickBot="1">
      <c r="A1" s="54"/>
      <c r="B1" s="14"/>
      <c r="C1" s="14"/>
      <c r="D1" s="14"/>
      <c r="E1" s="14"/>
      <c r="F1" s="14"/>
      <c r="G1" s="14"/>
      <c r="H1" s="14"/>
      <c r="I1" s="14"/>
      <c r="J1" s="14"/>
      <c r="K1" s="14"/>
      <c r="L1" s="14"/>
      <c r="M1" s="14"/>
      <c r="N1" s="14"/>
      <c r="O1" s="14"/>
      <c r="P1" s="14"/>
      <c r="Q1" s="14"/>
      <c r="R1" s="25"/>
      <c r="S1" s="14"/>
      <c r="T1" s="14"/>
      <c r="U1" s="14"/>
      <c r="V1" s="14"/>
      <c r="W1" s="14"/>
      <c r="X1" s="14"/>
      <c r="Y1" s="14"/>
      <c r="Z1" s="14"/>
      <c r="AA1" s="14"/>
      <c r="AB1" s="14"/>
      <c r="AC1" s="14"/>
      <c r="AD1" s="14"/>
      <c r="AE1" s="14"/>
      <c r="AF1" s="14"/>
      <c r="AG1" s="14"/>
      <c r="AH1" s="14"/>
      <c r="AI1" s="14"/>
      <c r="AJ1" s="14"/>
      <c r="AK1" s="14"/>
      <c r="AL1" s="14"/>
      <c r="AM1" s="14"/>
      <c r="AN1" s="14"/>
      <c r="AO1" s="14"/>
      <c r="AP1" s="14"/>
    </row>
    <row r="2" spans="1:53" ht="10.25" customHeight="1">
      <c r="A2" s="14"/>
      <c r="B2" s="14"/>
      <c r="C2" s="222"/>
      <c r="D2" s="17"/>
      <c r="E2" s="17"/>
      <c r="F2" s="17"/>
      <c r="G2" s="17"/>
      <c r="H2" s="17"/>
      <c r="I2" s="17"/>
      <c r="J2" s="54"/>
      <c r="K2" s="54"/>
      <c r="L2" s="54"/>
      <c r="M2" s="54"/>
      <c r="N2" s="14"/>
      <c r="O2" s="14"/>
      <c r="P2" s="14"/>
      <c r="Q2" s="14"/>
      <c r="S2" s="302" t="s">
        <v>233</v>
      </c>
      <c r="T2" s="303"/>
      <c r="U2" s="195"/>
      <c r="V2" s="195"/>
      <c r="W2" s="195"/>
      <c r="X2" s="14"/>
      <c r="Y2" s="14"/>
      <c r="Z2" s="14"/>
      <c r="AA2" s="14"/>
      <c r="AB2" s="14"/>
      <c r="AC2" s="14"/>
      <c r="AD2" s="14"/>
      <c r="AE2" s="14"/>
      <c r="AF2" s="14"/>
      <c r="AG2" s="14"/>
      <c r="AH2" s="14"/>
      <c r="AI2" s="14"/>
      <c r="AJ2" s="14"/>
      <c r="AK2" s="14"/>
      <c r="AL2" s="14"/>
      <c r="AM2" s="14"/>
      <c r="AN2" s="14"/>
      <c r="AO2" s="14"/>
      <c r="AP2" s="14"/>
      <c r="AR2" t="s">
        <v>133</v>
      </c>
      <c r="AS2" t="s">
        <v>134</v>
      </c>
      <c r="AT2" t="s">
        <v>135</v>
      </c>
      <c r="AU2" t="s">
        <v>136</v>
      </c>
      <c r="AV2" t="s">
        <v>137</v>
      </c>
      <c r="AW2" t="s">
        <v>138</v>
      </c>
      <c r="AX2" t="s">
        <v>139</v>
      </c>
      <c r="AY2" t="s">
        <v>168</v>
      </c>
      <c r="AZ2" t="s">
        <v>141</v>
      </c>
    </row>
    <row r="3" spans="1:53" ht="10.25" customHeight="1" thickBot="1">
      <c r="A3" s="14"/>
      <c r="B3" s="222"/>
      <c r="C3" s="222"/>
      <c r="D3" s="17"/>
      <c r="E3" s="17"/>
      <c r="F3" s="17"/>
      <c r="G3" s="17"/>
      <c r="H3" s="17"/>
      <c r="I3" s="17"/>
      <c r="J3" s="54"/>
      <c r="K3" s="54"/>
      <c r="L3" s="54"/>
      <c r="M3" s="54"/>
      <c r="N3" s="14"/>
      <c r="O3" s="14"/>
      <c r="P3" s="14"/>
      <c r="Q3" s="14"/>
      <c r="R3" s="195"/>
      <c r="S3" s="304"/>
      <c r="T3" s="305"/>
      <c r="U3" s="195"/>
      <c r="V3" s="195"/>
      <c r="W3" s="195"/>
      <c r="X3" s="14"/>
      <c r="Y3" s="14"/>
      <c r="Z3" s="14"/>
      <c r="AA3" s="14"/>
      <c r="AB3" s="14"/>
      <c r="AC3" s="14"/>
      <c r="AD3" s="14"/>
      <c r="AE3" s="14"/>
      <c r="AF3" s="14"/>
      <c r="AG3" s="14"/>
      <c r="AH3" s="14"/>
      <c r="AI3" s="14"/>
      <c r="AJ3" s="14"/>
      <c r="AK3" s="14"/>
      <c r="AL3" s="14"/>
      <c r="AM3" s="14"/>
      <c r="AN3" s="14"/>
      <c r="AO3" s="14"/>
      <c r="AP3" s="14"/>
      <c r="AR3"/>
      <c r="AS3"/>
      <c r="AT3"/>
      <c r="AU3"/>
      <c r="AV3"/>
      <c r="AW3"/>
      <c r="AX3"/>
      <c r="AY3"/>
      <c r="AZ3"/>
    </row>
    <row r="4" spans="1:53" ht="40.75" customHeight="1">
      <c r="A4" s="14"/>
      <c r="B4" s="317" t="s">
        <v>295</v>
      </c>
      <c r="C4" s="317"/>
      <c r="D4" s="317"/>
      <c r="E4" s="224"/>
      <c r="F4" s="313" t="s">
        <v>232</v>
      </c>
      <c r="G4" s="314"/>
      <c r="H4" s="17"/>
      <c r="I4" s="14"/>
      <c r="J4" s="14"/>
      <c r="K4" s="14"/>
      <c r="L4" s="14"/>
      <c r="M4" s="14"/>
      <c r="N4" s="77"/>
      <c r="O4" s="77"/>
      <c r="P4" s="77"/>
      <c r="Q4" s="189"/>
      <c r="R4" s="165" t="s">
        <v>213</v>
      </c>
      <c r="S4" s="165" t="s">
        <v>30</v>
      </c>
      <c r="T4" s="298" t="s">
        <v>214</v>
      </c>
      <c r="U4" s="298"/>
      <c r="V4" s="298" t="s">
        <v>215</v>
      </c>
      <c r="W4" s="299"/>
      <c r="X4" s="14"/>
      <c r="Y4" s="14"/>
      <c r="Z4" s="14"/>
      <c r="AA4" s="14"/>
      <c r="AB4" s="14"/>
      <c r="AC4" s="14"/>
      <c r="AD4" s="14"/>
      <c r="AE4" s="14"/>
      <c r="AF4" s="14"/>
      <c r="AG4" s="14"/>
      <c r="AH4" s="14"/>
      <c r="AI4" s="14"/>
      <c r="AJ4" s="14"/>
      <c r="AK4" s="14"/>
      <c r="AL4" s="14"/>
      <c r="AM4" s="14"/>
      <c r="AN4" s="14"/>
      <c r="AO4" s="14"/>
      <c r="AP4" s="14"/>
      <c r="AR4">
        <v>0</v>
      </c>
      <c r="AS4" s="85">
        <f>Q36</f>
        <v>288</v>
      </c>
      <c r="AT4" s="85">
        <f>(1-$D$11)*AS4</f>
        <v>288</v>
      </c>
      <c r="AU4" s="85"/>
      <c r="AV4"/>
      <c r="AW4">
        <f>IF(ISNUMBER(AR5),SUM(AT4:AU4),SUM(AT4:AV4))</f>
        <v>288</v>
      </c>
      <c r="AX4" s="86">
        <f t="shared" ref="AX4:AX30" si="0">LN(AW4+$J$36)-LN($J$36)</f>
        <v>0.69677796237285428</v>
      </c>
      <c r="AY4">
        <f>IF(ISNUMBER(AR4),AX4/(1+$D$7)^AR4,0)</f>
        <v>0.69677796237285428</v>
      </c>
      <c r="AZ4"/>
    </row>
    <row r="5" spans="1:53" ht="10.75" customHeight="1" thickBot="1">
      <c r="A5" s="14"/>
      <c r="B5" s="318"/>
      <c r="C5" s="318"/>
      <c r="D5" s="318"/>
      <c r="E5" s="223"/>
      <c r="F5" s="315"/>
      <c r="G5" s="316"/>
      <c r="H5" s="27"/>
      <c r="I5" s="27"/>
      <c r="J5" s="14"/>
      <c r="K5" s="14"/>
      <c r="L5" s="14"/>
      <c r="M5" s="14"/>
      <c r="N5" s="14"/>
      <c r="O5" s="14"/>
      <c r="P5" s="14"/>
      <c r="Q5" s="169" t="s">
        <v>236</v>
      </c>
      <c r="R5" s="166">
        <f>D36/(1+D7)^10</f>
        <v>0.253</v>
      </c>
      <c r="S5" s="166" t="e">
        <f>R5*(1-1/(1+D7)^G16)/(1-1/(1+D7))</f>
        <v>#DIV/0!</v>
      </c>
      <c r="T5" s="300" t="e">
        <f>S5*G7*G9*G18*G8/G36</f>
        <v>#DIV/0!</v>
      </c>
      <c r="U5" s="300"/>
      <c r="V5" s="300">
        <f>G14*G11</f>
        <v>0</v>
      </c>
      <c r="W5" s="301"/>
      <c r="X5" s="14"/>
      <c r="Y5" s="14"/>
      <c r="Z5" s="14"/>
      <c r="AA5" s="14"/>
      <c r="AB5" s="14"/>
      <c r="AC5" s="14"/>
      <c r="AD5" s="14"/>
      <c r="AE5" s="14"/>
      <c r="AF5" s="14"/>
      <c r="AG5" s="14"/>
      <c r="AH5" s="14"/>
      <c r="AI5" s="14"/>
      <c r="AJ5" s="14"/>
      <c r="AK5" s="14"/>
      <c r="AL5" s="14"/>
      <c r="AM5" s="14"/>
      <c r="AN5" s="14"/>
      <c r="AO5" s="14"/>
      <c r="AP5" s="14"/>
      <c r="AR5" t="str">
        <f t="shared" ref="AR5:AR70" si="1">IF(AR4&lt;$D$14,AR4+1,"")</f>
        <v/>
      </c>
      <c r="AS5" s="85">
        <f>AS4-AT4</f>
        <v>0</v>
      </c>
      <c r="AT5" s="85"/>
      <c r="AU5" s="85">
        <f t="shared" ref="AU5:AU70" si="2">$D$10*AS5</f>
        <v>0</v>
      </c>
      <c r="AV5" s="85">
        <f>AS5</f>
        <v>0</v>
      </c>
      <c r="AW5">
        <f t="shared" ref="AW5:AW14" si="3">IF(ISNUMBER(AR6),SUM(AT5:AU5),SUM(AT5:AV5))</f>
        <v>0</v>
      </c>
      <c r="AX5" s="86">
        <f t="shared" si="0"/>
        <v>0</v>
      </c>
      <c r="AY5">
        <f t="shared" ref="AY5:AY70" si="4">IF(ISNUMBER(AR5),AX5/(1+$D$7)^AR5,0)</f>
        <v>0</v>
      </c>
      <c r="AZ5">
        <f>SUM(AY5:AY113)</f>
        <v>0</v>
      </c>
      <c r="BA5" s="1">
        <f>SUM(AY5:AY23)</f>
        <v>0</v>
      </c>
    </row>
    <row r="6" spans="1:53" ht="14">
      <c r="A6" s="14"/>
      <c r="B6" s="10"/>
      <c r="C6" s="311" t="s">
        <v>12</v>
      </c>
      <c r="D6" s="311"/>
      <c r="E6" s="49"/>
      <c r="F6" s="23" t="s">
        <v>13</v>
      </c>
      <c r="G6" s="24"/>
      <c r="H6" s="50"/>
      <c r="I6" s="311" t="s">
        <v>40</v>
      </c>
      <c r="J6" s="311"/>
      <c r="K6" s="159"/>
      <c r="L6" s="312" t="s">
        <v>210</v>
      </c>
      <c r="M6" s="312"/>
      <c r="N6" s="11"/>
      <c r="O6" s="6"/>
      <c r="P6" s="14"/>
      <c r="Q6" s="169" t="s">
        <v>237</v>
      </c>
      <c r="R6" s="166">
        <f>(M15*M11)/(1+D7)^10</f>
        <v>0</v>
      </c>
      <c r="S6" s="166" t="e">
        <f>R6*(1-1/(1+D7)^G16)/(1-1/(1+D7))</f>
        <v>#DIV/0!</v>
      </c>
      <c r="T6" s="300" t="e">
        <f>S6*M8*M9*M14*(W36/V36)</f>
        <v>#DIV/0!</v>
      </c>
      <c r="U6" s="300"/>
      <c r="V6" s="300">
        <v>0</v>
      </c>
      <c r="W6" s="301"/>
      <c r="X6" s="14"/>
      <c r="Y6" s="14"/>
      <c r="Z6" s="14"/>
      <c r="AA6" s="14"/>
      <c r="AB6" s="14"/>
      <c r="AC6" s="14"/>
      <c r="AD6" s="14"/>
      <c r="AE6" s="14"/>
      <c r="AF6" s="14"/>
      <c r="AG6" s="14"/>
      <c r="AH6" s="14"/>
      <c r="AI6" s="14"/>
      <c r="AJ6" s="14"/>
      <c r="AK6" s="14"/>
      <c r="AL6" s="14"/>
      <c r="AM6" s="14"/>
      <c r="AN6" s="14"/>
      <c r="AO6" s="14"/>
      <c r="AP6" s="14"/>
      <c r="AR6" t="str">
        <f t="shared" si="1"/>
        <v/>
      </c>
      <c r="AS6" s="85">
        <f t="shared" ref="AS6:AS71" si="5">IF(ISNUMBER(AR6),AV5,0)</f>
        <v>0</v>
      </c>
      <c r="AT6" s="85"/>
      <c r="AU6" s="85">
        <f t="shared" si="2"/>
        <v>0</v>
      </c>
      <c r="AV6" s="85">
        <f t="shared" ref="AV6:AV71" si="6">AS6</f>
        <v>0</v>
      </c>
      <c r="AW6">
        <f t="shared" si="3"/>
        <v>0</v>
      </c>
      <c r="AX6" s="86">
        <f t="shared" si="0"/>
        <v>0</v>
      </c>
      <c r="AY6">
        <f t="shared" si="4"/>
        <v>0</v>
      </c>
      <c r="AZ6"/>
    </row>
    <row r="7" spans="1:53" ht="20.5" customHeight="1">
      <c r="A7" s="14"/>
      <c r="B7" s="306" t="s">
        <v>47</v>
      </c>
      <c r="C7" s="139" t="s">
        <v>0</v>
      </c>
      <c r="D7" s="179"/>
      <c r="E7" s="2"/>
      <c r="F7" s="174" t="s">
        <v>4</v>
      </c>
      <c r="G7" s="175"/>
      <c r="H7" s="4"/>
      <c r="I7" s="174" t="s">
        <v>8</v>
      </c>
      <c r="J7" s="175"/>
      <c r="K7" s="160"/>
      <c r="L7" s="174" t="s">
        <v>217</v>
      </c>
      <c r="M7" s="180"/>
      <c r="N7" s="12"/>
      <c r="O7" s="6"/>
      <c r="P7" s="14"/>
      <c r="Q7" s="15"/>
      <c r="R7" s="6"/>
      <c r="S7" s="6"/>
      <c r="T7" s="6"/>
      <c r="U7" s="164"/>
      <c r="V7" s="6"/>
      <c r="W7" s="12"/>
      <c r="X7" s="14"/>
      <c r="Y7" s="14"/>
      <c r="Z7" s="14"/>
      <c r="AA7" s="14"/>
      <c r="AB7" s="14"/>
      <c r="AC7" s="14"/>
      <c r="AD7" s="14"/>
      <c r="AE7" s="14"/>
      <c r="AF7" s="14"/>
      <c r="AG7" s="14"/>
      <c r="AH7" s="14"/>
      <c r="AI7" s="14"/>
      <c r="AJ7" s="14"/>
      <c r="AK7" s="14"/>
      <c r="AL7" s="14"/>
      <c r="AM7" s="14"/>
      <c r="AN7" s="14"/>
      <c r="AO7" s="14"/>
      <c r="AP7" s="14"/>
      <c r="AR7" t="str">
        <f t="shared" si="1"/>
        <v/>
      </c>
      <c r="AS7" s="85">
        <f>IF(ISNUMBER(AR7),AV6,0)</f>
        <v>0</v>
      </c>
      <c r="AT7" s="85"/>
      <c r="AU7" s="85">
        <f t="shared" si="2"/>
        <v>0</v>
      </c>
      <c r="AV7" s="85">
        <f t="shared" si="6"/>
        <v>0</v>
      </c>
      <c r="AW7">
        <f t="shared" si="3"/>
        <v>0</v>
      </c>
      <c r="AX7" s="86">
        <f t="shared" si="0"/>
        <v>0</v>
      </c>
      <c r="AY7">
        <f t="shared" si="4"/>
        <v>0</v>
      </c>
      <c r="AZ7"/>
    </row>
    <row r="8" spans="1:53" ht="20.5" customHeight="1">
      <c r="A8" s="14"/>
      <c r="B8" s="306"/>
      <c r="C8" s="127"/>
      <c r="D8" s="127"/>
      <c r="E8" s="51"/>
      <c r="F8" s="178" t="s">
        <v>6</v>
      </c>
      <c r="G8" s="13"/>
      <c r="H8" s="5"/>
      <c r="I8" s="153" t="s">
        <v>9</v>
      </c>
      <c r="J8" s="154"/>
      <c r="K8" s="161"/>
      <c r="L8" s="153" t="s">
        <v>211</v>
      </c>
      <c r="M8" s="154"/>
      <c r="N8" s="12"/>
      <c r="O8" s="6"/>
      <c r="P8" s="14"/>
      <c r="Q8" s="309" t="s">
        <v>238</v>
      </c>
      <c r="R8" s="6"/>
      <c r="S8" s="167" t="s">
        <v>31</v>
      </c>
      <c r="T8" s="319" t="s">
        <v>34</v>
      </c>
      <c r="U8" s="319"/>
      <c r="V8" s="97"/>
      <c r="W8" s="12"/>
      <c r="X8" s="14"/>
      <c r="Y8" s="14"/>
      <c r="Z8" s="14"/>
      <c r="AA8" s="14"/>
      <c r="AB8" s="14"/>
      <c r="AC8" s="14"/>
      <c r="AD8" s="14"/>
      <c r="AE8" s="14"/>
      <c r="AF8" s="14"/>
      <c r="AG8" s="14"/>
      <c r="AH8" s="14"/>
      <c r="AI8" s="14"/>
      <c r="AJ8" s="14"/>
      <c r="AK8" s="14"/>
      <c r="AL8" s="14"/>
      <c r="AM8" s="14"/>
      <c r="AN8" s="14"/>
      <c r="AO8" s="14"/>
      <c r="AP8" s="14"/>
      <c r="AR8" t="str">
        <f t="shared" si="1"/>
        <v/>
      </c>
      <c r="AS8" s="85">
        <f t="shared" si="5"/>
        <v>0</v>
      </c>
      <c r="AT8" s="85"/>
      <c r="AU8" s="85">
        <f t="shared" si="2"/>
        <v>0</v>
      </c>
      <c r="AV8" s="85">
        <f t="shared" si="6"/>
        <v>0</v>
      </c>
      <c r="AW8">
        <f t="shared" si="3"/>
        <v>0</v>
      </c>
      <c r="AX8" s="86">
        <f t="shared" si="0"/>
        <v>0</v>
      </c>
      <c r="AY8">
        <f t="shared" si="4"/>
        <v>0</v>
      </c>
      <c r="AZ8"/>
    </row>
    <row r="9" spans="1:53" ht="33">
      <c r="A9" s="14"/>
      <c r="B9" s="306"/>
      <c r="C9" s="307" t="s">
        <v>14</v>
      </c>
      <c r="D9" s="307"/>
      <c r="E9" s="2"/>
      <c r="F9" s="153" t="s">
        <v>177</v>
      </c>
      <c r="G9" s="154"/>
      <c r="H9" s="5"/>
      <c r="I9" s="153" t="s">
        <v>204</v>
      </c>
      <c r="J9" s="154"/>
      <c r="K9" s="161"/>
      <c r="L9" s="153" t="s">
        <v>212</v>
      </c>
      <c r="M9" s="154"/>
      <c r="N9" s="12"/>
      <c r="O9" s="6"/>
      <c r="P9" s="14"/>
      <c r="Q9" s="309"/>
      <c r="R9" s="21" t="s">
        <v>46</v>
      </c>
      <c r="S9" s="125" t="e">
        <f>($V$5+$T$5*J14)*J7*J11</f>
        <v>#DIV/0!</v>
      </c>
      <c r="T9" s="310" t="e">
        <f>J12*S9/(J16/J9)</f>
        <v>#DIV/0!</v>
      </c>
      <c r="U9" s="308"/>
      <c r="V9" s="99"/>
      <c r="W9" s="12"/>
      <c r="X9" s="14"/>
      <c r="Y9" s="14"/>
      <c r="Z9" s="14"/>
      <c r="AA9" s="14"/>
      <c r="AB9" s="14"/>
      <c r="AC9" s="14"/>
      <c r="AD9" s="14"/>
      <c r="AE9" s="14"/>
      <c r="AF9" s="14"/>
      <c r="AG9" s="14"/>
      <c r="AH9" s="14"/>
      <c r="AI9" s="14"/>
      <c r="AJ9" s="14"/>
      <c r="AK9" s="14"/>
      <c r="AL9" s="14"/>
      <c r="AM9" s="14"/>
      <c r="AN9" s="14"/>
      <c r="AO9" s="14"/>
      <c r="AP9" s="14"/>
      <c r="AR9" t="str">
        <f t="shared" si="1"/>
        <v/>
      </c>
      <c r="AS9" s="85">
        <f t="shared" si="5"/>
        <v>0</v>
      </c>
      <c r="AT9" s="85"/>
      <c r="AU9" s="85">
        <f t="shared" si="2"/>
        <v>0</v>
      </c>
      <c r="AV9" s="85">
        <f t="shared" si="6"/>
        <v>0</v>
      </c>
      <c r="AW9">
        <f>IF(ISNUMBER(AR10),SUM(AT9:AU9),SUM(AT9:AV9))</f>
        <v>0</v>
      </c>
      <c r="AX9" s="86">
        <f t="shared" si="0"/>
        <v>0</v>
      </c>
      <c r="AY9">
        <f t="shared" si="4"/>
        <v>0</v>
      </c>
      <c r="AZ9"/>
    </row>
    <row r="10" spans="1:53" ht="26.5" customHeight="1">
      <c r="A10" s="14"/>
      <c r="B10" s="306"/>
      <c r="C10" s="121" t="s">
        <v>3</v>
      </c>
      <c r="D10" s="122"/>
      <c r="E10" s="112"/>
      <c r="F10" s="126" t="s">
        <v>176</v>
      </c>
      <c r="G10" s="140"/>
      <c r="H10" s="113"/>
      <c r="I10" s="153" t="s">
        <v>205</v>
      </c>
      <c r="J10" s="154"/>
      <c r="K10" s="161"/>
      <c r="L10" s="153" t="s">
        <v>227</v>
      </c>
      <c r="M10" s="154"/>
      <c r="N10" s="12"/>
      <c r="O10" s="6"/>
      <c r="P10" s="14"/>
      <c r="Q10" s="309"/>
      <c r="R10" s="21" t="s">
        <v>45</v>
      </c>
      <c r="S10" s="149" t="e">
        <f>($V$5+$T$5*J15)*J8*J18</f>
        <v>#DIV/0!</v>
      </c>
      <c r="T10" s="308" t="e">
        <f>S10/(J17/J10)</f>
        <v>#DIV/0!</v>
      </c>
      <c r="U10" s="308"/>
      <c r="V10" s="99"/>
      <c r="W10" s="12"/>
      <c r="X10" s="14"/>
      <c r="Y10" s="14"/>
      <c r="Z10" s="14"/>
      <c r="AA10" s="14"/>
      <c r="AB10" s="14"/>
      <c r="AC10" s="14"/>
      <c r="AD10" s="14"/>
      <c r="AE10" s="14"/>
      <c r="AF10" s="14"/>
      <c r="AG10" s="14"/>
      <c r="AH10" s="14"/>
      <c r="AI10" s="14"/>
      <c r="AJ10" s="14"/>
      <c r="AK10" s="14"/>
      <c r="AL10" s="14"/>
      <c r="AM10" s="14"/>
      <c r="AN10" s="14"/>
      <c r="AO10" s="14"/>
      <c r="AP10" s="14"/>
      <c r="AR10" t="str">
        <f t="shared" si="1"/>
        <v/>
      </c>
      <c r="AS10" s="85">
        <f>IF(ISNUMBER(AR10),AV9,0)</f>
        <v>0</v>
      </c>
      <c r="AT10" s="85"/>
      <c r="AU10" s="85">
        <f t="shared" si="2"/>
        <v>0</v>
      </c>
      <c r="AV10" s="85">
        <f t="shared" si="6"/>
        <v>0</v>
      </c>
      <c r="AW10">
        <f>IF(ISNUMBER(AR11),SUM(AT10:AU10),SUM(AT10:AV10))</f>
        <v>0</v>
      </c>
      <c r="AX10" s="86">
        <f t="shared" si="0"/>
        <v>0</v>
      </c>
      <c r="AY10">
        <f t="shared" si="4"/>
        <v>0</v>
      </c>
      <c r="AZ10"/>
    </row>
    <row r="11" spans="1:53" ht="33" customHeight="1">
      <c r="A11" s="14"/>
      <c r="B11" s="306"/>
      <c r="C11" s="134" t="s">
        <v>5</v>
      </c>
      <c r="D11" s="135"/>
      <c r="E11" s="3"/>
      <c r="F11" s="153" t="s">
        <v>186</v>
      </c>
      <c r="G11" s="136"/>
      <c r="H11" s="6"/>
      <c r="I11" s="153" t="s">
        <v>107</v>
      </c>
      <c r="J11" s="154"/>
      <c r="K11" s="161"/>
      <c r="L11" s="153" t="s">
        <v>226</v>
      </c>
      <c r="M11" s="154"/>
      <c r="N11" s="12"/>
      <c r="O11" s="14"/>
      <c r="P11" s="14"/>
      <c r="Q11" s="309"/>
      <c r="R11" s="21" t="s">
        <v>216</v>
      </c>
      <c r="S11" s="149" t="e">
        <f>T6*M12</f>
        <v>#DIV/0!</v>
      </c>
      <c r="T11" s="310" t="e">
        <f>M13*S11/(M7/M10)</f>
        <v>#DIV/0!</v>
      </c>
      <c r="U11" s="308"/>
      <c r="V11" s="99"/>
      <c r="W11" s="12"/>
      <c r="X11" s="14"/>
      <c r="Y11" s="14"/>
      <c r="Z11" s="14"/>
      <c r="AA11" s="14"/>
      <c r="AB11" s="14"/>
      <c r="AC11" s="14"/>
      <c r="AD11" s="14"/>
      <c r="AE11" s="14"/>
      <c r="AF11" s="14"/>
      <c r="AG11" s="14"/>
      <c r="AH11" s="14"/>
      <c r="AI11" s="14"/>
      <c r="AJ11" s="14"/>
      <c r="AK11" s="14"/>
      <c r="AL11" s="14"/>
      <c r="AM11" s="14"/>
      <c r="AN11" s="14"/>
      <c r="AO11" s="14"/>
      <c r="AP11" s="14"/>
      <c r="AR11" t="str">
        <f t="shared" si="1"/>
        <v/>
      </c>
      <c r="AS11" s="85">
        <f>IF(ISNUMBER(AR11),AV10,0)</f>
        <v>0</v>
      </c>
      <c r="AT11" s="85"/>
      <c r="AU11" s="85">
        <f t="shared" si="2"/>
        <v>0</v>
      </c>
      <c r="AV11" s="85">
        <f t="shared" si="6"/>
        <v>0</v>
      </c>
      <c r="AW11">
        <f>IF(ISNUMBER(AR12),SUM(AT11:AU11),SUM(AT11:AV11))</f>
        <v>0</v>
      </c>
      <c r="AX11" s="86">
        <f t="shared" si="0"/>
        <v>0</v>
      </c>
      <c r="AY11">
        <f t="shared" si="4"/>
        <v>0</v>
      </c>
      <c r="AZ11"/>
    </row>
    <row r="12" spans="1:53" ht="24" customHeight="1">
      <c r="A12" s="14"/>
      <c r="B12" s="15"/>
      <c r="C12" s="9"/>
      <c r="D12" s="8"/>
      <c r="E12" s="2"/>
      <c r="F12" s="52"/>
      <c r="G12" s="53"/>
      <c r="H12" s="9"/>
      <c r="I12" s="153" t="s">
        <v>330</v>
      </c>
      <c r="J12" s="154"/>
      <c r="K12" s="6"/>
      <c r="L12" s="153" t="s">
        <v>219</v>
      </c>
      <c r="M12" s="154"/>
      <c r="N12" s="12"/>
      <c r="O12" s="6"/>
      <c r="P12" s="14"/>
      <c r="Q12" s="123"/>
      <c r="R12" s="21"/>
      <c r="S12" s="124"/>
      <c r="T12" s="99"/>
      <c r="U12" s="99"/>
      <c r="V12" s="99"/>
      <c r="W12" s="12"/>
      <c r="X12" s="14"/>
      <c r="Y12" s="14"/>
      <c r="Z12" s="14"/>
      <c r="AA12" s="14"/>
      <c r="AB12" s="14"/>
      <c r="AC12" s="14"/>
      <c r="AD12" s="14"/>
      <c r="AE12" s="14"/>
      <c r="AF12" s="14"/>
      <c r="AG12" s="14"/>
      <c r="AH12" s="14"/>
      <c r="AI12" s="14"/>
      <c r="AJ12" s="14"/>
      <c r="AK12" s="14"/>
      <c r="AL12" s="14"/>
      <c r="AM12" s="14"/>
      <c r="AN12" s="14"/>
      <c r="AO12" s="14"/>
      <c r="AP12" s="14"/>
      <c r="AR12" t="str">
        <f t="shared" si="1"/>
        <v/>
      </c>
      <c r="AS12" s="85">
        <f>IF(ISNUMBER(AR12),AV11,0)</f>
        <v>0</v>
      </c>
      <c r="AT12" s="85"/>
      <c r="AU12" s="85">
        <f t="shared" si="2"/>
        <v>0</v>
      </c>
      <c r="AV12" s="85">
        <f t="shared" si="6"/>
        <v>0</v>
      </c>
      <c r="AW12">
        <f>IF(ISNUMBER(AR13),SUM(AT12:AU12),SUM(AT12:AV12))</f>
        <v>0</v>
      </c>
      <c r="AX12" s="86">
        <f t="shared" si="0"/>
        <v>0</v>
      </c>
      <c r="AY12">
        <f t="shared" si="4"/>
        <v>0</v>
      </c>
      <c r="AZ12"/>
    </row>
    <row r="13" spans="1:53" ht="24" customHeight="1">
      <c r="A13" s="14"/>
      <c r="B13" s="15"/>
      <c r="C13" s="9"/>
      <c r="D13" s="8"/>
      <c r="E13" s="2"/>
      <c r="F13" s="52"/>
      <c r="G13" s="53"/>
      <c r="H13" s="6"/>
      <c r="I13" s="9"/>
      <c r="J13" s="8"/>
      <c r="K13" s="6"/>
      <c r="L13" s="153" t="s">
        <v>218</v>
      </c>
      <c r="M13" s="154"/>
      <c r="N13" s="12"/>
      <c r="O13" s="6"/>
      <c r="P13" s="14"/>
      <c r="Q13" s="309" t="s">
        <v>239</v>
      </c>
      <c r="R13" s="48"/>
      <c r="S13" s="167" t="s">
        <v>173</v>
      </c>
      <c r="T13" s="319" t="s">
        <v>174</v>
      </c>
      <c r="U13" s="319"/>
      <c r="V13" s="167" t="s">
        <v>175</v>
      </c>
      <c r="W13" s="168" t="s">
        <v>184</v>
      </c>
      <c r="X13" s="14"/>
      <c r="Y13" s="14"/>
      <c r="Z13" s="14"/>
      <c r="AA13" s="14"/>
      <c r="AB13" s="14"/>
      <c r="AC13" s="14"/>
      <c r="AD13" s="14"/>
      <c r="AE13" s="14"/>
      <c r="AF13" s="14"/>
      <c r="AG13" s="14"/>
      <c r="AH13" s="14"/>
      <c r="AI13" s="14"/>
      <c r="AJ13" s="14"/>
      <c r="AK13" s="14"/>
      <c r="AL13" s="14"/>
      <c r="AM13" s="14"/>
      <c r="AN13" s="14"/>
      <c r="AO13" s="14"/>
      <c r="AP13" s="14"/>
      <c r="AR13" t="str">
        <f t="shared" si="1"/>
        <v/>
      </c>
      <c r="AS13" s="85">
        <f>IF(ISNUMBER(AR13),AV12,0)</f>
        <v>0</v>
      </c>
      <c r="AT13" s="85"/>
      <c r="AU13" s="85">
        <f t="shared" si="2"/>
        <v>0</v>
      </c>
      <c r="AV13" s="85">
        <f t="shared" si="6"/>
        <v>0</v>
      </c>
      <c r="AW13">
        <f t="shared" si="3"/>
        <v>0</v>
      </c>
      <c r="AX13" s="86">
        <f t="shared" si="0"/>
        <v>0</v>
      </c>
      <c r="AY13">
        <f t="shared" si="4"/>
        <v>0</v>
      </c>
      <c r="AZ13"/>
    </row>
    <row r="14" spans="1:53" ht="21" customHeight="1">
      <c r="A14" s="14"/>
      <c r="B14" s="357" t="s">
        <v>296</v>
      </c>
      <c r="C14" s="358" t="s">
        <v>1</v>
      </c>
      <c r="D14" s="359"/>
      <c r="E14" s="3"/>
      <c r="F14" s="358" t="s">
        <v>2</v>
      </c>
      <c r="G14" s="359"/>
      <c r="H14" s="6"/>
      <c r="I14" s="128" t="s">
        <v>11</v>
      </c>
      <c r="J14" s="129"/>
      <c r="K14" s="162"/>
      <c r="L14" s="153" t="s">
        <v>220</v>
      </c>
      <c r="M14" s="154"/>
      <c r="N14" s="12"/>
      <c r="O14" s="6"/>
      <c r="P14" s="14"/>
      <c r="Q14" s="309"/>
      <c r="R14" s="21" t="s">
        <v>46</v>
      </c>
      <c r="S14" s="149" t="e">
        <f>(1000/(J16/J9))*J14*J11*G9*J12*G10*G7*J7*G8*G18*(1/G36)</f>
        <v>#DIV/0!</v>
      </c>
      <c r="T14" s="325" t="e">
        <f>(((1000/(J16/J9))*G14)/U36)*J7*J11</f>
        <v>#DIV/0!</v>
      </c>
      <c r="U14" s="325"/>
      <c r="V14" s="149" t="e">
        <f>S14+T14</f>
        <v>#DIV/0!</v>
      </c>
      <c r="W14" s="192" t="e">
        <f>1000/V14</f>
        <v>#DIV/0!</v>
      </c>
      <c r="X14" s="14"/>
      <c r="Y14" s="14"/>
      <c r="Z14" s="14"/>
      <c r="AA14" s="14"/>
      <c r="AB14" s="14"/>
      <c r="AC14" s="14"/>
      <c r="AD14" s="14"/>
      <c r="AE14" s="14"/>
      <c r="AF14" s="14"/>
      <c r="AG14" s="14"/>
      <c r="AH14" s="14"/>
      <c r="AI14" s="14"/>
      <c r="AJ14" s="14"/>
      <c r="AK14" s="14"/>
      <c r="AL14" s="14"/>
      <c r="AM14" s="14"/>
      <c r="AN14" s="14"/>
      <c r="AO14" s="14"/>
      <c r="AP14" s="14"/>
      <c r="AR14" t="str">
        <f t="shared" si="1"/>
        <v/>
      </c>
      <c r="AS14" s="85">
        <f t="shared" si="5"/>
        <v>0</v>
      </c>
      <c r="AT14" s="85"/>
      <c r="AU14" s="85">
        <f t="shared" si="2"/>
        <v>0</v>
      </c>
      <c r="AV14" s="85">
        <f t="shared" si="6"/>
        <v>0</v>
      </c>
      <c r="AW14">
        <f t="shared" si="3"/>
        <v>0</v>
      </c>
      <c r="AX14" s="86">
        <f t="shared" si="0"/>
        <v>0</v>
      </c>
      <c r="AY14">
        <f t="shared" si="4"/>
        <v>0</v>
      </c>
      <c r="AZ14"/>
    </row>
    <row r="15" spans="1:53" ht="21" customHeight="1">
      <c r="A15" s="14"/>
      <c r="B15" s="357"/>
      <c r="C15" s="354"/>
      <c r="D15" s="359"/>
      <c r="E15" s="3"/>
      <c r="F15" s="354"/>
      <c r="G15" s="363"/>
      <c r="H15" s="6"/>
      <c r="I15" s="137" t="s">
        <v>10</v>
      </c>
      <c r="J15" s="138"/>
      <c r="K15" s="162"/>
      <c r="L15" s="176" t="s">
        <v>224</v>
      </c>
      <c r="M15" s="177"/>
      <c r="N15" s="12"/>
      <c r="O15" s="6"/>
      <c r="P15" s="14"/>
      <c r="Q15" s="309"/>
      <c r="R15" s="21" t="s">
        <v>45</v>
      </c>
      <c r="S15" s="191" t="e">
        <f>(1000/(J17/J10))*J15*J8*G10*G7*G8*J18*G9*G18*(1/G36)</f>
        <v>#DIV/0!</v>
      </c>
      <c r="T15" s="326" t="e">
        <f>(((1000/(J17/J10))*G14)/U36)*J18*J8</f>
        <v>#DIV/0!</v>
      </c>
      <c r="U15" s="326"/>
      <c r="V15" s="149" t="e">
        <f>S15+T15</f>
        <v>#DIV/0!</v>
      </c>
      <c r="W15" s="192" t="e">
        <f>1000/V15</f>
        <v>#DIV/0!</v>
      </c>
      <c r="X15" s="14"/>
      <c r="Y15" s="14"/>
      <c r="Z15" s="14"/>
      <c r="AA15" s="14"/>
      <c r="AB15" s="14"/>
      <c r="AC15" s="14"/>
      <c r="AD15" s="14"/>
      <c r="AE15" s="14"/>
      <c r="AF15" s="14"/>
      <c r="AG15" s="14"/>
      <c r="AH15" s="14"/>
      <c r="AI15" s="14"/>
      <c r="AJ15" s="14"/>
      <c r="AK15" s="14"/>
      <c r="AL15" s="14"/>
      <c r="AM15" s="14"/>
      <c r="AN15" s="14"/>
      <c r="AO15" s="14"/>
      <c r="AP15" s="14"/>
      <c r="AR15" t="str">
        <f t="shared" si="1"/>
        <v/>
      </c>
      <c r="AS15" s="85">
        <f t="shared" si="5"/>
        <v>0</v>
      </c>
      <c r="AT15" s="85"/>
      <c r="AU15" s="85">
        <f t="shared" si="2"/>
        <v>0</v>
      </c>
      <c r="AV15" s="85">
        <f t="shared" si="6"/>
        <v>0</v>
      </c>
      <c r="AW15">
        <f>IF(ISNUMBER(AR16),SUM(AT15:AU15),SUM(AT15:AV15))</f>
        <v>0</v>
      </c>
      <c r="AX15" s="86">
        <f t="shared" si="0"/>
        <v>0</v>
      </c>
      <c r="AY15">
        <f t="shared" si="4"/>
        <v>0</v>
      </c>
      <c r="AZ15"/>
    </row>
    <row r="16" spans="1:53" ht="21" customHeight="1">
      <c r="A16" s="14"/>
      <c r="B16" s="357"/>
      <c r="C16" s="353" t="s">
        <v>19</v>
      </c>
      <c r="D16" s="360"/>
      <c r="E16" s="3"/>
      <c r="F16" s="353" t="s">
        <v>303</v>
      </c>
      <c r="G16" s="355"/>
      <c r="H16" s="6"/>
      <c r="I16" s="132" t="s">
        <v>28</v>
      </c>
      <c r="J16" s="130"/>
      <c r="K16" s="163"/>
      <c r="L16" s="6"/>
      <c r="M16" s="6"/>
      <c r="N16" s="12"/>
      <c r="O16" s="6"/>
      <c r="P16" s="14"/>
      <c r="Q16" s="309"/>
      <c r="R16" s="21" t="s">
        <v>210</v>
      </c>
      <c r="S16" s="367" t="e">
        <f>(1000/(M7/M10))*M9*M8*(1/V36)*W36*M12*M14*M11*(M15/D36)*M13*G10</f>
        <v>#DIV/0!</v>
      </c>
      <c r="T16" s="367"/>
      <c r="U16" s="190">
        <v>0</v>
      </c>
      <c r="V16" s="149" t="e">
        <f>S16+U16</f>
        <v>#DIV/0!</v>
      </c>
      <c r="W16" s="192" t="e">
        <f>1000/V16</f>
        <v>#DIV/0!</v>
      </c>
      <c r="X16" s="14"/>
      <c r="Y16" s="14"/>
      <c r="Z16" s="14"/>
      <c r="AA16" s="14"/>
      <c r="AB16" s="14"/>
      <c r="AC16" s="14"/>
      <c r="AD16" s="14"/>
      <c r="AE16" s="14"/>
      <c r="AF16" s="14"/>
      <c r="AG16" s="14"/>
      <c r="AH16" s="14"/>
      <c r="AI16" s="14"/>
      <c r="AJ16" s="14"/>
      <c r="AK16" s="14"/>
      <c r="AL16" s="14"/>
      <c r="AM16" s="14"/>
      <c r="AN16" s="14"/>
      <c r="AO16" s="14"/>
      <c r="AP16" s="14"/>
      <c r="AR16" t="str">
        <f t="shared" si="1"/>
        <v/>
      </c>
      <c r="AS16" s="85">
        <f t="shared" si="5"/>
        <v>0</v>
      </c>
      <c r="AT16" s="85"/>
      <c r="AU16" s="85">
        <f t="shared" si="2"/>
        <v>0</v>
      </c>
      <c r="AV16" s="85">
        <f t="shared" si="6"/>
        <v>0</v>
      </c>
      <c r="AW16">
        <f t="shared" ref="AW16:AW80" si="7">IF(ISNUMBER(AR17),SUM(AT16:AU16),SUM(AT16:AV16))</f>
        <v>0</v>
      </c>
      <c r="AX16" s="86">
        <f t="shared" si="0"/>
        <v>0</v>
      </c>
      <c r="AY16">
        <f t="shared" si="4"/>
        <v>0</v>
      </c>
      <c r="AZ16"/>
    </row>
    <row r="17" spans="1:53" ht="31.75" customHeight="1">
      <c r="A17" s="14"/>
      <c r="B17" s="357"/>
      <c r="C17" s="362"/>
      <c r="D17" s="361"/>
      <c r="E17" s="3"/>
      <c r="F17" s="354"/>
      <c r="G17" s="356"/>
      <c r="H17" s="6"/>
      <c r="I17" s="133" t="s">
        <v>7</v>
      </c>
      <c r="J17" s="131"/>
      <c r="K17" s="163"/>
      <c r="L17" s="14"/>
      <c r="M17" s="14"/>
      <c r="N17" s="12"/>
      <c r="O17" s="6"/>
      <c r="P17" s="14"/>
      <c r="Q17" s="15"/>
      <c r="R17" s="6"/>
      <c r="S17" s="6"/>
      <c r="T17" s="6"/>
      <c r="U17" s="6"/>
      <c r="V17" s="6"/>
      <c r="W17" s="12"/>
      <c r="X17" s="14"/>
      <c r="Y17" s="14"/>
      <c r="Z17" s="14"/>
      <c r="AA17" s="14"/>
      <c r="AB17" s="14"/>
      <c r="AC17" s="14"/>
      <c r="AD17" s="14"/>
      <c r="AE17" s="14"/>
      <c r="AF17" s="14"/>
      <c r="AG17" s="14"/>
      <c r="AH17" s="14"/>
      <c r="AI17" s="14"/>
      <c r="AJ17" s="14"/>
      <c r="AK17" s="14"/>
      <c r="AL17" s="14"/>
      <c r="AM17" s="14"/>
      <c r="AN17" s="14"/>
      <c r="AO17" s="14"/>
      <c r="AP17" s="14"/>
      <c r="AR17" t="str">
        <f>IF(AR16&lt;$D$14,AR16+1,"")</f>
        <v/>
      </c>
      <c r="AS17" s="85">
        <f>IF(ISNUMBER(AR17),AV16,0)</f>
        <v>0</v>
      </c>
      <c r="AT17" s="85"/>
      <c r="AU17" s="85">
        <f t="shared" si="2"/>
        <v>0</v>
      </c>
      <c r="AV17" s="85">
        <f t="shared" si="6"/>
        <v>0</v>
      </c>
      <c r="AW17">
        <f>IF(ISNUMBER(AR18),SUM(AT17:AU17),SUM(AT17:AV17))</f>
        <v>0</v>
      </c>
      <c r="AX17" s="86">
        <f t="shared" si="0"/>
        <v>0</v>
      </c>
      <c r="AY17">
        <f t="shared" si="4"/>
        <v>0</v>
      </c>
      <c r="AZ17"/>
    </row>
    <row r="18" spans="1:53" ht="30.5" customHeight="1">
      <c r="A18" s="14"/>
      <c r="B18" s="357"/>
      <c r="C18" s="6"/>
      <c r="D18" s="6"/>
      <c r="E18" s="3"/>
      <c r="F18" s="150" t="s">
        <v>254</v>
      </c>
      <c r="G18" s="147"/>
      <c r="H18" s="6"/>
      <c r="I18" s="146" t="s">
        <v>131</v>
      </c>
      <c r="J18" s="145"/>
      <c r="K18" s="162"/>
      <c r="L18" s="14"/>
      <c r="M18" s="14"/>
      <c r="N18" s="12"/>
      <c r="O18" s="6"/>
      <c r="P18" s="6"/>
      <c r="Q18" s="309" t="s">
        <v>240</v>
      </c>
      <c r="R18" s="167" t="s">
        <v>179</v>
      </c>
      <c r="S18" s="167" t="s">
        <v>35</v>
      </c>
      <c r="T18" s="319" t="s">
        <v>36</v>
      </c>
      <c r="U18" s="319"/>
      <c r="V18" s="319" t="s">
        <v>34</v>
      </c>
      <c r="W18" s="324"/>
      <c r="X18" s="14"/>
      <c r="Y18" s="14"/>
      <c r="Z18" s="14"/>
      <c r="AA18" s="14"/>
      <c r="AB18" s="14"/>
      <c r="AC18" s="14"/>
      <c r="AD18" s="14"/>
      <c r="AE18" s="14"/>
      <c r="AF18" s="14"/>
      <c r="AG18" s="14"/>
      <c r="AH18" s="14"/>
      <c r="AI18" s="14"/>
      <c r="AJ18" s="14"/>
      <c r="AK18" s="14"/>
      <c r="AL18" s="14"/>
      <c r="AM18" s="14"/>
      <c r="AN18" s="14"/>
      <c r="AO18" s="14"/>
      <c r="AP18" s="14"/>
      <c r="AR18" t="str">
        <f>IF(AR17&lt;$D$14,AR17+1,"")</f>
        <v/>
      </c>
      <c r="AS18" s="85">
        <f>IF(ISNUMBER(AR18),AV17,0)</f>
        <v>0</v>
      </c>
      <c r="AT18" s="85"/>
      <c r="AU18" s="85">
        <f t="shared" si="2"/>
        <v>0</v>
      </c>
      <c r="AV18" s="85">
        <f t="shared" si="6"/>
        <v>0</v>
      </c>
      <c r="AW18">
        <f>IF(ISNUMBER(AR19),SUM(AT18:AU18),SUM(AT18:AV18))</f>
        <v>0</v>
      </c>
      <c r="AX18" s="86">
        <f t="shared" si="0"/>
        <v>0</v>
      </c>
      <c r="AY18">
        <f t="shared" si="4"/>
        <v>0</v>
      </c>
      <c r="AZ18"/>
    </row>
    <row r="19" spans="1:53" ht="10.25" customHeight="1" thickBot="1">
      <c r="A19" s="14"/>
      <c r="B19" s="141"/>
      <c r="C19" s="7"/>
      <c r="D19" s="7"/>
      <c r="E19" s="7"/>
      <c r="F19" s="142"/>
      <c r="G19" s="143"/>
      <c r="H19" s="7"/>
      <c r="I19" s="7"/>
      <c r="J19" s="7"/>
      <c r="K19" s="7"/>
      <c r="L19" s="172"/>
      <c r="M19" s="7"/>
      <c r="N19" s="144"/>
      <c r="O19" s="6"/>
      <c r="P19" s="14"/>
      <c r="Q19" s="321"/>
      <c r="R19" s="171">
        <f>AZ5</f>
        <v>0</v>
      </c>
      <c r="S19" s="171">
        <f>AY4</f>
        <v>0.69677796237285428</v>
      </c>
      <c r="T19" s="320">
        <f>R19+S19</f>
        <v>0.69677796237285428</v>
      </c>
      <c r="U19" s="320"/>
      <c r="V19" s="322" t="e">
        <f>T19/(Model!Q36/Model!D16)</f>
        <v>#DIV/0!</v>
      </c>
      <c r="W19" s="323"/>
      <c r="X19" s="14"/>
      <c r="Y19" s="14"/>
      <c r="Z19" s="14"/>
      <c r="AA19" s="14"/>
      <c r="AB19" s="14"/>
      <c r="AC19" s="14"/>
      <c r="AD19" s="14"/>
      <c r="AE19" s="14"/>
      <c r="AF19" s="14"/>
      <c r="AG19" s="14"/>
      <c r="AH19" s="14"/>
      <c r="AI19" s="14"/>
      <c r="AJ19" s="14"/>
      <c r="AK19" s="14"/>
      <c r="AL19" s="14"/>
      <c r="AM19" s="14"/>
      <c r="AN19" s="14"/>
      <c r="AO19" s="14"/>
      <c r="AP19" s="14"/>
      <c r="AR19" t="str">
        <f>IF(AR18&lt;$D$14,AR18+1,"")</f>
        <v/>
      </c>
      <c r="AS19" s="85">
        <f>IF(ISNUMBER(AR19),AV18,0)</f>
        <v>0</v>
      </c>
      <c r="AT19" s="85"/>
      <c r="AU19" s="85">
        <f t="shared" si="2"/>
        <v>0</v>
      </c>
      <c r="AV19" s="85">
        <f t="shared" si="6"/>
        <v>0</v>
      </c>
      <c r="AW19">
        <f t="shared" si="7"/>
        <v>0</v>
      </c>
      <c r="AX19" s="86">
        <f t="shared" si="0"/>
        <v>0</v>
      </c>
      <c r="AY19">
        <f t="shared" si="4"/>
        <v>0</v>
      </c>
      <c r="AZ19"/>
    </row>
    <row r="20" spans="1:53" ht="9.5" customHeight="1" thickBot="1">
      <c r="A20" s="14"/>
      <c r="B20" s="14"/>
      <c r="C20" s="14"/>
      <c r="D20" s="14"/>
      <c r="E20" s="14"/>
      <c r="F20" s="14"/>
      <c r="G20" s="14"/>
      <c r="H20" s="14"/>
      <c r="I20" s="14"/>
      <c r="J20" s="14"/>
      <c r="K20" s="14"/>
      <c r="L20" s="14"/>
      <c r="M20" s="14"/>
      <c r="N20" s="14"/>
      <c r="O20" s="14"/>
      <c r="P20" s="14"/>
      <c r="Q20" s="6"/>
      <c r="R20" s="6"/>
      <c r="S20" s="6"/>
      <c r="T20" s="6"/>
      <c r="U20" s="6"/>
      <c r="V20" s="6"/>
      <c r="W20" s="6"/>
      <c r="X20" s="14"/>
      <c r="Y20" s="14"/>
      <c r="Z20" s="14"/>
      <c r="AA20" s="14"/>
      <c r="AB20" s="14"/>
      <c r="AC20" s="14"/>
      <c r="AD20" s="14"/>
      <c r="AE20" s="14"/>
      <c r="AF20" s="14"/>
      <c r="AG20" s="14"/>
      <c r="AH20" s="14"/>
      <c r="AI20" s="14"/>
      <c r="AJ20" s="14"/>
      <c r="AK20" s="14"/>
      <c r="AL20" s="14"/>
      <c r="AM20" s="14"/>
      <c r="AN20" s="14"/>
      <c r="AO20" s="14"/>
      <c r="AP20" s="14"/>
      <c r="AR20" t="str">
        <f t="shared" si="1"/>
        <v/>
      </c>
      <c r="AS20" s="85">
        <f t="shared" si="5"/>
        <v>0</v>
      </c>
      <c r="AT20" s="85"/>
      <c r="AU20" s="85">
        <f t="shared" si="2"/>
        <v>0</v>
      </c>
      <c r="AV20" s="85">
        <f t="shared" si="6"/>
        <v>0</v>
      </c>
      <c r="AW20">
        <f t="shared" si="7"/>
        <v>0</v>
      </c>
      <c r="AX20" s="86">
        <f t="shared" si="0"/>
        <v>0</v>
      </c>
      <c r="AY20">
        <f t="shared" si="4"/>
        <v>0</v>
      </c>
      <c r="AZ20"/>
    </row>
    <row r="21" spans="1:53" ht="10.25" customHeight="1">
      <c r="A21" s="14"/>
      <c r="B21" s="14"/>
      <c r="C21" s="14"/>
      <c r="D21" s="14"/>
      <c r="E21" s="6"/>
      <c r="F21" s="384" t="s">
        <v>34</v>
      </c>
      <c r="G21" s="28" t="s">
        <v>33</v>
      </c>
      <c r="H21" s="29"/>
      <c r="I21" s="30" t="e">
        <f>T9</f>
        <v>#DIV/0!</v>
      </c>
      <c r="J21" s="31"/>
      <c r="K21" s="31"/>
      <c r="L21" s="31"/>
      <c r="M21" s="31"/>
      <c r="N21" s="32"/>
      <c r="O21" s="36"/>
      <c r="P21" s="6"/>
      <c r="Q21" s="181"/>
      <c r="R21" s="381" t="s">
        <v>301</v>
      </c>
      <c r="S21" s="382"/>
      <c r="T21" s="96"/>
      <c r="U21" s="377" t="s">
        <v>37</v>
      </c>
      <c r="V21" s="377"/>
      <c r="W21" s="378"/>
      <c r="X21" s="14"/>
      <c r="Y21" s="14"/>
      <c r="Z21" s="14"/>
      <c r="AA21" s="14"/>
      <c r="AB21" s="14"/>
      <c r="AC21" s="14"/>
      <c r="AD21" s="14"/>
      <c r="AE21" s="14"/>
      <c r="AF21" s="14"/>
      <c r="AG21" s="14"/>
      <c r="AH21" s="14"/>
      <c r="AI21" s="14"/>
      <c r="AJ21" s="14"/>
      <c r="AK21" s="14"/>
      <c r="AL21" s="14"/>
      <c r="AM21" s="14"/>
      <c r="AN21" s="14"/>
      <c r="AO21" s="14"/>
      <c r="AP21" s="14"/>
      <c r="AR21" t="str">
        <f t="shared" si="1"/>
        <v/>
      </c>
      <c r="AS21" s="85">
        <f t="shared" si="5"/>
        <v>0</v>
      </c>
      <c r="AT21" s="85"/>
      <c r="AU21" s="85">
        <f t="shared" si="2"/>
        <v>0</v>
      </c>
      <c r="AV21" s="85">
        <f t="shared" si="6"/>
        <v>0</v>
      </c>
      <c r="AW21">
        <f t="shared" si="7"/>
        <v>0</v>
      </c>
      <c r="AX21" s="86">
        <f t="shared" si="0"/>
        <v>0</v>
      </c>
      <c r="AY21">
        <f t="shared" si="4"/>
        <v>0</v>
      </c>
      <c r="AZ21"/>
    </row>
    <row r="22" spans="1:53" ht="12" customHeight="1" thickBot="1">
      <c r="A22" s="14"/>
      <c r="B22" s="14"/>
      <c r="C22" s="14"/>
      <c r="D22" s="14"/>
      <c r="E22" s="6"/>
      <c r="F22" s="368"/>
      <c r="G22" s="33" t="s">
        <v>32</v>
      </c>
      <c r="H22" s="34"/>
      <c r="I22" s="35" t="e">
        <f>T10</f>
        <v>#DIV/0!</v>
      </c>
      <c r="J22" s="36"/>
      <c r="K22" s="36"/>
      <c r="L22" s="36"/>
      <c r="M22" s="36"/>
      <c r="N22" s="37"/>
      <c r="O22" s="36"/>
      <c r="P22" s="6"/>
      <c r="Q22" s="193"/>
      <c r="R22" s="309"/>
      <c r="S22" s="383"/>
      <c r="T22" s="97"/>
      <c r="U22" s="379"/>
      <c r="V22" s="379"/>
      <c r="W22" s="380"/>
      <c r="X22" s="14"/>
      <c r="Y22" s="83"/>
      <c r="Z22" s="14"/>
      <c r="AA22" s="14"/>
      <c r="AB22" s="14"/>
      <c r="AC22" s="14"/>
      <c r="AD22" s="14"/>
      <c r="AE22" s="14"/>
      <c r="AF22" s="14"/>
      <c r="AG22" s="14"/>
      <c r="AH22" s="14"/>
      <c r="AI22" s="14"/>
      <c r="AJ22" s="14"/>
      <c r="AK22" s="14"/>
      <c r="AL22" s="14"/>
      <c r="AM22" s="14"/>
      <c r="AN22" s="14"/>
      <c r="AO22" s="14"/>
      <c r="AP22" s="14"/>
      <c r="AR22" t="str">
        <f t="shared" si="1"/>
        <v/>
      </c>
      <c r="AS22" s="85">
        <f t="shared" si="5"/>
        <v>0</v>
      </c>
      <c r="AT22" s="85"/>
      <c r="AU22" s="85">
        <f t="shared" si="2"/>
        <v>0</v>
      </c>
      <c r="AV22" s="85">
        <f t="shared" si="6"/>
        <v>0</v>
      </c>
      <c r="AW22">
        <f t="shared" si="7"/>
        <v>0</v>
      </c>
      <c r="AX22" s="86">
        <f t="shared" si="0"/>
        <v>0</v>
      </c>
      <c r="AY22">
        <f t="shared" si="4"/>
        <v>0</v>
      </c>
      <c r="AZ22"/>
    </row>
    <row r="23" spans="1:53" ht="10.75" customHeight="1">
      <c r="A23" s="14"/>
      <c r="B23" s="313" t="s">
        <v>234</v>
      </c>
      <c r="C23" s="349"/>
      <c r="D23" s="349"/>
      <c r="E23" s="349"/>
      <c r="F23" s="368"/>
      <c r="G23" s="33" t="s">
        <v>210</v>
      </c>
      <c r="H23" s="34"/>
      <c r="I23" s="35" t="e">
        <f>T11</f>
        <v>#DIV/0!</v>
      </c>
      <c r="J23" s="36"/>
      <c r="K23" s="36"/>
      <c r="L23" s="36"/>
      <c r="M23" s="36"/>
      <c r="N23" s="37"/>
      <c r="O23" s="36"/>
      <c r="P23" s="6"/>
      <c r="Q23" s="181"/>
      <c r="R23" s="84" t="s">
        <v>44</v>
      </c>
      <c r="S23" s="46" t="e">
        <f>W24/W23</f>
        <v>#DIV/0!</v>
      </c>
      <c r="T23" s="98"/>
      <c r="U23" s="45" t="s">
        <v>38</v>
      </c>
      <c r="V23" s="45"/>
      <c r="W23" s="47" t="e">
        <f>(R36/S36)*T5</f>
        <v>#DIV/0!</v>
      </c>
      <c r="X23" s="14"/>
      <c r="Y23" s="83"/>
      <c r="Z23" s="14"/>
      <c r="AA23" s="14"/>
      <c r="AB23" s="14"/>
      <c r="AC23" s="14"/>
      <c r="AD23" s="14"/>
      <c r="AE23" s="14"/>
      <c r="AF23" s="14"/>
      <c r="AG23" s="14"/>
      <c r="AH23" s="14"/>
      <c r="AI23" s="14"/>
      <c r="AJ23" s="14"/>
      <c r="AK23" s="14"/>
      <c r="AL23" s="14"/>
      <c r="AM23" s="14"/>
      <c r="AN23" s="14"/>
      <c r="AO23" s="14"/>
      <c r="AP23" s="14"/>
      <c r="AR23" t="str">
        <f t="shared" si="1"/>
        <v/>
      </c>
      <c r="AS23" s="85">
        <f t="shared" si="5"/>
        <v>0</v>
      </c>
      <c r="AT23" s="85"/>
      <c r="AU23" s="85">
        <f t="shared" si="2"/>
        <v>0</v>
      </c>
      <c r="AV23" s="85">
        <f t="shared" si="6"/>
        <v>0</v>
      </c>
      <c r="AW23">
        <f t="shared" si="7"/>
        <v>0</v>
      </c>
      <c r="AX23" s="86">
        <f t="shared" si="0"/>
        <v>0</v>
      </c>
      <c r="AY23">
        <f t="shared" si="4"/>
        <v>0</v>
      </c>
      <c r="AZ23"/>
    </row>
    <row r="24" spans="1:53" ht="12.5" customHeight="1" thickBot="1">
      <c r="A24" s="14"/>
      <c r="B24" s="350"/>
      <c r="C24" s="351"/>
      <c r="D24" s="351"/>
      <c r="E24" s="351"/>
      <c r="F24" s="368"/>
      <c r="G24" s="33" t="s">
        <v>14</v>
      </c>
      <c r="H24" s="34"/>
      <c r="I24" s="35" t="e">
        <f>Model!V19</f>
        <v>#DIV/0!</v>
      </c>
      <c r="J24" s="36"/>
      <c r="K24" s="36"/>
      <c r="L24" s="36"/>
      <c r="M24" s="36"/>
      <c r="N24" s="37"/>
      <c r="O24" s="36"/>
      <c r="P24" s="6"/>
      <c r="Q24" s="193"/>
      <c r="R24" s="84" t="s">
        <v>32</v>
      </c>
      <c r="S24" s="46" t="e">
        <f>W25/W23</f>
        <v>#DIV/0!</v>
      </c>
      <c r="T24" s="98"/>
      <c r="U24" s="45" t="s">
        <v>39</v>
      </c>
      <c r="V24" s="45"/>
      <c r="W24" s="47" t="e">
        <f>T9*R36</f>
        <v>#DIV/0!</v>
      </c>
      <c r="X24" s="14"/>
      <c r="Y24" s="6"/>
      <c r="Z24" s="14"/>
      <c r="AA24" s="14"/>
      <c r="AB24" s="14"/>
      <c r="AC24" s="14"/>
      <c r="AD24" s="14"/>
      <c r="AE24" s="14"/>
      <c r="AF24" s="14"/>
      <c r="AG24" s="14"/>
      <c r="AH24" s="14"/>
      <c r="AI24" s="14"/>
      <c r="AJ24" s="14"/>
      <c r="AK24" s="14"/>
      <c r="AL24" s="14"/>
      <c r="AM24" s="14"/>
      <c r="AN24" s="14"/>
      <c r="AO24" s="14"/>
      <c r="AP24" s="14"/>
      <c r="AR24" t="str">
        <f t="shared" si="1"/>
        <v/>
      </c>
      <c r="AS24" s="85">
        <f t="shared" si="5"/>
        <v>0</v>
      </c>
      <c r="AT24" s="85"/>
      <c r="AU24" s="85">
        <f t="shared" si="2"/>
        <v>0</v>
      </c>
      <c r="AV24" s="85">
        <f t="shared" si="6"/>
        <v>0</v>
      </c>
      <c r="AW24">
        <f>IF(ISNUMBER(AR25),SUM(AT24:AU24),SUM(AT24:AV24))</f>
        <v>0</v>
      </c>
      <c r="AX24" s="86">
        <f t="shared" si="0"/>
        <v>0</v>
      </c>
      <c r="AY24">
        <f t="shared" si="4"/>
        <v>0</v>
      </c>
      <c r="AZ24"/>
    </row>
    <row r="25" spans="1:53" ht="14.5" customHeight="1">
      <c r="A25" s="14"/>
      <c r="B25" s="350"/>
      <c r="C25" s="351"/>
      <c r="D25" s="351"/>
      <c r="E25" s="351"/>
      <c r="F25" s="38" t="s">
        <v>48</v>
      </c>
      <c r="G25" s="39"/>
      <c r="H25" s="39"/>
      <c r="I25" s="40" t="e">
        <f>Model!V19*J36</f>
        <v>#DIV/0!</v>
      </c>
      <c r="J25" s="36"/>
      <c r="K25" s="36"/>
      <c r="L25" s="36"/>
      <c r="M25" s="36"/>
      <c r="N25" s="37"/>
      <c r="O25" s="36"/>
      <c r="P25" s="6"/>
      <c r="Q25" s="372" t="s">
        <v>235</v>
      </c>
      <c r="R25" s="84" t="s">
        <v>210</v>
      </c>
      <c r="S25" s="46" t="e">
        <f>W27/W23</f>
        <v>#DIV/0!</v>
      </c>
      <c r="T25" s="22"/>
      <c r="U25" s="45" t="s">
        <v>32</v>
      </c>
      <c r="V25" s="45"/>
      <c r="W25" s="47" t="e">
        <f>T10*R36</f>
        <v>#DIV/0!</v>
      </c>
      <c r="X25" s="6"/>
      <c r="Y25" s="6"/>
      <c r="Z25" s="14"/>
      <c r="AA25" s="14"/>
      <c r="AB25" s="14"/>
      <c r="AC25" s="14"/>
      <c r="AD25" s="14"/>
      <c r="AE25" s="14"/>
      <c r="AF25" s="14"/>
      <c r="AG25" s="14"/>
      <c r="AH25" s="14"/>
      <c r="AI25" s="14"/>
      <c r="AJ25" s="14"/>
      <c r="AK25" s="14"/>
      <c r="AL25" s="14"/>
      <c r="AM25" s="14"/>
      <c r="AN25" s="14"/>
      <c r="AO25" s="14"/>
      <c r="AP25" s="14"/>
      <c r="AR25" t="str">
        <f>IF(AR24&lt;$D$14,AR24+1,"")</f>
        <v/>
      </c>
      <c r="AS25" s="85">
        <f>IF(ISNUMBER(AR25),AV24,0)</f>
        <v>0</v>
      </c>
      <c r="AT25" s="85"/>
      <c r="AU25" s="85">
        <f t="shared" si="2"/>
        <v>0</v>
      </c>
      <c r="AV25" s="85">
        <f t="shared" si="6"/>
        <v>0</v>
      </c>
      <c r="AW25">
        <f t="shared" si="7"/>
        <v>0</v>
      </c>
      <c r="AX25" s="86">
        <f t="shared" si="0"/>
        <v>0</v>
      </c>
      <c r="AY25">
        <f t="shared" si="4"/>
        <v>0</v>
      </c>
      <c r="AZ25"/>
    </row>
    <row r="26" spans="1:53" ht="12" customHeight="1" thickBot="1">
      <c r="A26" s="14"/>
      <c r="B26" s="315"/>
      <c r="C26" s="352"/>
      <c r="D26" s="352"/>
      <c r="E26" s="352"/>
      <c r="F26" s="15"/>
      <c r="G26" s="6"/>
      <c r="H26" s="6"/>
      <c r="I26" s="6"/>
      <c r="J26" s="6"/>
      <c r="K26" s="6"/>
      <c r="L26" s="6"/>
      <c r="M26" s="6"/>
      <c r="N26" s="12"/>
      <c r="O26" s="36"/>
      <c r="P26" s="6"/>
      <c r="Q26" s="373"/>
      <c r="R26" s="15"/>
      <c r="S26" s="6"/>
      <c r="T26" s="6"/>
      <c r="U26" s="45" t="s">
        <v>14</v>
      </c>
      <c r="V26" s="45"/>
      <c r="W26" s="47" t="e">
        <f>V19*R36</f>
        <v>#DIV/0!</v>
      </c>
      <c r="X26" s="14"/>
      <c r="Y26" s="14"/>
      <c r="Z26" s="14"/>
      <c r="AA26" s="14"/>
      <c r="AB26" s="14"/>
      <c r="AC26" s="14"/>
      <c r="AD26" s="14"/>
      <c r="AE26" s="14"/>
      <c r="AF26" s="14"/>
      <c r="AG26" s="14"/>
      <c r="AH26" s="14"/>
      <c r="AI26" s="14"/>
      <c r="AJ26" s="14"/>
      <c r="AK26" s="14"/>
      <c r="AL26" s="14"/>
      <c r="AM26" s="14"/>
      <c r="AN26" s="14"/>
      <c r="AO26" s="14"/>
      <c r="AP26" s="14"/>
      <c r="AR26" t="str">
        <f t="shared" si="1"/>
        <v/>
      </c>
      <c r="AS26" s="85">
        <f t="shared" si="5"/>
        <v>0</v>
      </c>
      <c r="AT26" s="85"/>
      <c r="AU26" s="85">
        <f t="shared" si="2"/>
        <v>0</v>
      </c>
      <c r="AV26" s="85">
        <f t="shared" si="6"/>
        <v>0</v>
      </c>
      <c r="AW26">
        <f t="shared" si="7"/>
        <v>0</v>
      </c>
      <c r="AX26" s="86">
        <f t="shared" si="0"/>
        <v>0</v>
      </c>
      <c r="AY26">
        <f t="shared" si="4"/>
        <v>0</v>
      </c>
      <c r="AZ26"/>
    </row>
    <row r="27" spans="1:53" ht="12.5" customHeight="1">
      <c r="A27" s="14"/>
      <c r="B27" s="14"/>
      <c r="C27" s="14"/>
      <c r="D27" s="14"/>
      <c r="E27" s="6"/>
      <c r="F27" s="41" t="s">
        <v>41</v>
      </c>
      <c r="G27" s="42" t="e">
        <f>I21/I24</f>
        <v>#DIV/0!</v>
      </c>
      <c r="H27" s="43" t="s">
        <v>42</v>
      </c>
      <c r="I27" s="39"/>
      <c r="J27" s="39"/>
      <c r="K27" s="39"/>
      <c r="L27" s="39"/>
      <c r="M27" s="39"/>
      <c r="N27" s="44"/>
      <c r="O27" s="36"/>
      <c r="P27" s="6"/>
      <c r="Q27" s="373"/>
      <c r="R27" s="15"/>
      <c r="S27" s="6"/>
      <c r="T27" s="6"/>
      <c r="U27" s="45" t="s">
        <v>210</v>
      </c>
      <c r="V27" s="45"/>
      <c r="W27" s="47" t="e">
        <f>T11*R36</f>
        <v>#DIV/0!</v>
      </c>
      <c r="X27" s="14"/>
      <c r="Y27" s="14"/>
      <c r="Z27" s="14"/>
      <c r="AA27" s="14"/>
      <c r="AB27" s="14"/>
      <c r="AC27" s="14"/>
      <c r="AD27" s="14"/>
      <c r="AE27" s="14"/>
      <c r="AF27" s="14"/>
      <c r="AG27" s="14"/>
      <c r="AH27" s="14"/>
      <c r="AI27" s="14"/>
      <c r="AJ27" s="14"/>
      <c r="AK27" s="14"/>
      <c r="AL27" s="14"/>
      <c r="AM27" s="14"/>
      <c r="AN27" s="14"/>
      <c r="AO27" s="14"/>
      <c r="AP27" s="14"/>
      <c r="AR27" t="str">
        <f t="shared" si="1"/>
        <v/>
      </c>
      <c r="AS27" s="85">
        <f t="shared" si="5"/>
        <v>0</v>
      </c>
      <c r="AT27" s="85"/>
      <c r="AU27" s="85">
        <f t="shared" si="2"/>
        <v>0</v>
      </c>
      <c r="AV27" s="85">
        <f t="shared" si="6"/>
        <v>0</v>
      </c>
      <c r="AW27">
        <f t="shared" si="7"/>
        <v>0</v>
      </c>
      <c r="AX27" s="86">
        <f t="shared" si="0"/>
        <v>0</v>
      </c>
      <c r="AY27">
        <f t="shared" si="4"/>
        <v>0</v>
      </c>
      <c r="AZ27" s="117"/>
      <c r="BA27" s="14"/>
    </row>
    <row r="28" spans="1:53" s="14" customFormat="1" ht="14.5" customHeight="1" thickBot="1">
      <c r="E28" s="6"/>
      <c r="F28" s="41" t="s">
        <v>43</v>
      </c>
      <c r="G28" s="42" t="e">
        <f>I22/I24</f>
        <v>#DIV/0!</v>
      </c>
      <c r="H28" s="43" t="s">
        <v>42</v>
      </c>
      <c r="I28" s="39"/>
      <c r="J28" s="39"/>
      <c r="K28" s="39"/>
      <c r="L28" s="39"/>
      <c r="M28" s="39"/>
      <c r="N28" s="44"/>
      <c r="O28" s="36"/>
      <c r="P28" s="6"/>
      <c r="Q28" s="374"/>
      <c r="R28" s="15"/>
      <c r="S28" s="6"/>
      <c r="T28" s="6"/>
      <c r="U28" s="6"/>
      <c r="V28" s="6"/>
      <c r="W28" s="12"/>
      <c r="AR28" t="str">
        <f t="shared" si="1"/>
        <v/>
      </c>
      <c r="AS28" s="85">
        <f t="shared" si="5"/>
        <v>0</v>
      </c>
      <c r="AT28" s="85"/>
      <c r="AU28" s="85">
        <f t="shared" si="2"/>
        <v>0</v>
      </c>
      <c r="AV28" s="85">
        <f t="shared" si="6"/>
        <v>0</v>
      </c>
      <c r="AW28">
        <f t="shared" si="7"/>
        <v>0</v>
      </c>
      <c r="AX28" s="86">
        <f t="shared" si="0"/>
        <v>0</v>
      </c>
      <c r="AY28">
        <f t="shared" si="4"/>
        <v>0</v>
      </c>
      <c r="AZ28"/>
      <c r="BA28" s="1"/>
    </row>
    <row r="29" spans="1:53" ht="13.75" customHeight="1">
      <c r="A29" s="14"/>
      <c r="B29" s="14"/>
      <c r="C29" s="14"/>
      <c r="D29" s="14"/>
      <c r="E29" s="6"/>
      <c r="F29" s="41" t="s">
        <v>228</v>
      </c>
      <c r="G29" s="42" t="e">
        <f>I23/I24</f>
        <v>#DIV/0!</v>
      </c>
      <c r="H29" s="43" t="s">
        <v>42</v>
      </c>
      <c r="I29" s="39"/>
      <c r="J29" s="39"/>
      <c r="K29" s="39"/>
      <c r="L29" s="39"/>
      <c r="M29" s="39"/>
      <c r="N29" s="44"/>
      <c r="O29" s="36"/>
      <c r="P29" s="6"/>
      <c r="Q29" s="193"/>
      <c r="R29" s="375" t="s">
        <v>231</v>
      </c>
      <c r="S29" s="376"/>
      <c r="T29" s="376"/>
      <c r="U29" s="376"/>
      <c r="V29" s="376"/>
      <c r="W29" s="100" t="e">
        <f>W24-W23</f>
        <v>#DIV/0!</v>
      </c>
      <c r="X29" s="14"/>
      <c r="Y29" s="14"/>
      <c r="Z29" s="14"/>
      <c r="AA29" s="14"/>
      <c r="AB29" s="14"/>
      <c r="AC29" s="14"/>
      <c r="AD29" s="14"/>
      <c r="AE29" s="14"/>
      <c r="AF29" s="14"/>
      <c r="AG29" s="14"/>
      <c r="AH29" s="14"/>
      <c r="AI29" s="14"/>
      <c r="AJ29" s="14"/>
      <c r="AK29" s="14"/>
      <c r="AL29" s="14"/>
      <c r="AM29" s="14"/>
      <c r="AN29" s="14"/>
      <c r="AO29" s="14"/>
      <c r="AP29" s="14"/>
      <c r="AR29" t="str">
        <f t="shared" si="1"/>
        <v/>
      </c>
      <c r="AS29" s="85">
        <f t="shared" si="5"/>
        <v>0</v>
      </c>
      <c r="AT29" s="85"/>
      <c r="AU29" s="85">
        <f t="shared" si="2"/>
        <v>0</v>
      </c>
      <c r="AV29" s="85">
        <f t="shared" si="6"/>
        <v>0</v>
      </c>
      <c r="AW29">
        <f t="shared" si="7"/>
        <v>0</v>
      </c>
      <c r="AX29" s="86">
        <f t="shared" si="0"/>
        <v>0</v>
      </c>
      <c r="AY29">
        <f t="shared" si="4"/>
        <v>0</v>
      </c>
      <c r="AZ29"/>
    </row>
    <row r="30" spans="1:53" ht="13.25" customHeight="1">
      <c r="A30" s="14"/>
      <c r="B30" s="14"/>
      <c r="C30" s="14"/>
      <c r="D30" s="14"/>
      <c r="E30" s="6"/>
      <c r="F30" s="15"/>
      <c r="G30" s="6"/>
      <c r="H30" s="6"/>
      <c r="I30" s="6"/>
      <c r="J30" s="36"/>
      <c r="K30" s="36"/>
      <c r="L30" s="36"/>
      <c r="M30" s="36"/>
      <c r="N30" s="37"/>
      <c r="O30" s="36"/>
      <c r="P30" s="6"/>
      <c r="Q30" s="193"/>
      <c r="R30" s="375" t="s">
        <v>230</v>
      </c>
      <c r="S30" s="376"/>
      <c r="T30" s="376"/>
      <c r="U30" s="376"/>
      <c r="V30" s="376"/>
      <c r="W30" s="100" t="e">
        <f>W25-W23</f>
        <v>#DIV/0!</v>
      </c>
      <c r="X30" s="14"/>
      <c r="Y30" s="14"/>
      <c r="Z30" s="14"/>
      <c r="AA30" s="14"/>
      <c r="AB30" s="14"/>
      <c r="AC30" s="14"/>
      <c r="AD30" s="14"/>
      <c r="AE30" s="14"/>
      <c r="AF30" s="14"/>
      <c r="AG30" s="14"/>
      <c r="AH30" s="14"/>
      <c r="AI30" s="14"/>
      <c r="AJ30" s="14"/>
      <c r="AK30" s="14"/>
      <c r="AL30" s="14"/>
      <c r="AM30" s="14"/>
      <c r="AN30" s="14"/>
      <c r="AO30" s="14"/>
      <c r="AP30" s="14"/>
      <c r="AR30" t="str">
        <f t="shared" si="1"/>
        <v/>
      </c>
      <c r="AS30" s="85">
        <f t="shared" si="5"/>
        <v>0</v>
      </c>
      <c r="AT30" s="85"/>
      <c r="AU30" s="85">
        <f t="shared" si="2"/>
        <v>0</v>
      </c>
      <c r="AV30" s="85">
        <f t="shared" si="6"/>
        <v>0</v>
      </c>
      <c r="AW30">
        <f>IF(ISNUMBER(AR33),SUM(AT30:AU30),SUM(AT30:AV30))</f>
        <v>0</v>
      </c>
      <c r="AX30" s="86">
        <f t="shared" si="0"/>
        <v>0</v>
      </c>
      <c r="AY30">
        <f t="shared" si="4"/>
        <v>0</v>
      </c>
      <c r="AZ30"/>
    </row>
    <row r="31" spans="1:53" ht="13.25" customHeight="1" thickBot="1">
      <c r="A31" s="14"/>
      <c r="B31" s="14"/>
      <c r="C31" s="14"/>
      <c r="D31" s="14"/>
      <c r="E31" s="6"/>
      <c r="F31" s="368" t="s">
        <v>184</v>
      </c>
      <c r="G31" s="33" t="s">
        <v>33</v>
      </c>
      <c r="H31" s="34"/>
      <c r="I31" s="40" t="e">
        <f>1000/V14</f>
        <v>#DIV/0!</v>
      </c>
      <c r="J31" s="36"/>
      <c r="K31" s="36"/>
      <c r="L31" s="36"/>
      <c r="M31" s="36"/>
      <c r="N31" s="37"/>
      <c r="O31" s="36"/>
      <c r="P31" s="6"/>
      <c r="Q31" s="194"/>
      <c r="R31" s="370" t="s">
        <v>229</v>
      </c>
      <c r="S31" s="371"/>
      <c r="T31" s="371"/>
      <c r="U31" s="371"/>
      <c r="V31" s="371"/>
      <c r="W31" s="101" t="e">
        <f>W27-W23</f>
        <v>#DIV/0!</v>
      </c>
      <c r="X31" s="14"/>
      <c r="Y31" s="14"/>
      <c r="Z31" s="14"/>
      <c r="AA31" s="14"/>
      <c r="AB31" s="14"/>
      <c r="AC31" s="14"/>
      <c r="AD31" s="14"/>
      <c r="AE31" s="14"/>
      <c r="AF31" s="14"/>
      <c r="AG31" s="14"/>
      <c r="AH31" s="14"/>
      <c r="AI31" s="14"/>
      <c r="AJ31" s="14"/>
      <c r="AK31" s="14"/>
      <c r="AL31" s="14"/>
      <c r="AM31" s="14"/>
      <c r="AN31" s="14"/>
      <c r="AO31" s="14"/>
      <c r="AP31" s="14"/>
      <c r="AR31"/>
      <c r="AS31" s="85"/>
      <c r="AT31" s="85"/>
      <c r="AU31" s="85"/>
      <c r="AV31" s="85"/>
      <c r="AW31"/>
      <c r="AX31" s="86"/>
      <c r="AY31"/>
      <c r="AZ31"/>
    </row>
    <row r="32" spans="1:53" ht="13.25" customHeight="1">
      <c r="A32" s="14"/>
      <c r="B32" s="14"/>
      <c r="C32" s="14"/>
      <c r="D32" s="14"/>
      <c r="E32" s="6"/>
      <c r="F32" s="368"/>
      <c r="G32" s="33" t="s">
        <v>32</v>
      </c>
      <c r="H32" s="34"/>
      <c r="I32" s="40" t="e">
        <f>1000/V15</f>
        <v>#DIV/0!</v>
      </c>
      <c r="J32" s="36"/>
      <c r="K32" s="36"/>
      <c r="L32" s="36"/>
      <c r="M32" s="36"/>
      <c r="N32" s="37"/>
      <c r="O32" s="36"/>
      <c r="P32" s="6"/>
      <c r="Q32" s="114"/>
      <c r="R32" s="115"/>
      <c r="S32" s="115"/>
      <c r="T32" s="115"/>
      <c r="U32" s="115"/>
      <c r="V32" s="115"/>
      <c r="W32" s="116"/>
      <c r="X32" s="14"/>
      <c r="Y32" s="14"/>
      <c r="Z32" s="14"/>
      <c r="AA32" s="14"/>
      <c r="AB32" s="14"/>
      <c r="AC32" s="14"/>
      <c r="AD32" s="14"/>
      <c r="AE32" s="14"/>
      <c r="AF32" s="14"/>
      <c r="AG32" s="14"/>
      <c r="AH32" s="14"/>
      <c r="AI32" s="14"/>
      <c r="AJ32" s="14"/>
      <c r="AK32" s="14"/>
      <c r="AL32" s="14"/>
      <c r="AM32" s="14"/>
      <c r="AN32" s="14"/>
      <c r="AO32" s="14"/>
      <c r="AP32" s="14"/>
      <c r="AR32"/>
      <c r="AS32" s="85"/>
      <c r="AT32" s="85"/>
      <c r="AU32" s="85"/>
      <c r="AV32" s="85"/>
      <c r="AW32"/>
      <c r="AX32" s="86"/>
      <c r="AY32"/>
      <c r="AZ32"/>
    </row>
    <row r="33" spans="1:52" ht="13.75" customHeight="1" thickBot="1">
      <c r="A33" s="14"/>
      <c r="B33" s="14"/>
      <c r="C33" s="14"/>
      <c r="D33" s="14"/>
      <c r="E33" s="14"/>
      <c r="F33" s="369"/>
      <c r="G33" s="118" t="s">
        <v>210</v>
      </c>
      <c r="H33" s="119"/>
      <c r="I33" s="120" t="e">
        <f>1000/V16</f>
        <v>#DIV/0!</v>
      </c>
      <c r="J33" s="7"/>
      <c r="K33" s="7"/>
      <c r="L33" s="7"/>
      <c r="M33" s="7"/>
      <c r="N33" s="182"/>
      <c r="O33" s="14"/>
      <c r="P33" s="14"/>
      <c r="Q33" s="114"/>
      <c r="R33" s="115"/>
      <c r="S33" s="115"/>
      <c r="T33" s="115"/>
      <c r="U33" s="115"/>
      <c r="V33" s="115"/>
      <c r="W33" s="116"/>
      <c r="X33" s="14"/>
      <c r="Y33" s="14"/>
      <c r="Z33" s="14"/>
      <c r="AA33" s="14"/>
      <c r="AB33" s="14"/>
      <c r="AC33" s="14"/>
      <c r="AD33" s="14"/>
      <c r="AE33" s="14"/>
      <c r="AF33" s="14"/>
      <c r="AG33" s="14"/>
      <c r="AH33" s="14"/>
      <c r="AI33" s="14"/>
      <c r="AJ33" s="14"/>
      <c r="AK33" s="14"/>
      <c r="AL33" s="14"/>
      <c r="AM33" s="14"/>
      <c r="AN33" s="14"/>
      <c r="AO33" s="14"/>
      <c r="AP33" s="14"/>
      <c r="AR33" t="str">
        <f>IF(AR30&lt;$D$14,AR30+1,"")</f>
        <v/>
      </c>
      <c r="AS33" s="85">
        <f>IF(ISNUMBER(AR33),AV30,0)</f>
        <v>0</v>
      </c>
      <c r="AT33" s="85"/>
      <c r="AU33" s="85">
        <f t="shared" si="2"/>
        <v>0</v>
      </c>
      <c r="AV33" s="85">
        <f t="shared" si="6"/>
        <v>0</v>
      </c>
      <c r="AW33">
        <f t="shared" si="7"/>
        <v>0</v>
      </c>
      <c r="AX33" s="86">
        <f>LN(AW33+$J$36)-LN($J$36)</f>
        <v>0</v>
      </c>
      <c r="AY33">
        <f t="shared" si="4"/>
        <v>0</v>
      </c>
    </row>
    <row r="34" spans="1:52" ht="51" customHeight="1" thickBot="1">
      <c r="B34" s="14"/>
      <c r="C34" s="14"/>
      <c r="D34" s="14"/>
      <c r="E34" s="14"/>
      <c r="F34" s="14"/>
      <c r="G34" s="14"/>
      <c r="H34" s="14"/>
      <c r="I34" s="14"/>
      <c r="J34" s="14"/>
      <c r="K34" s="14"/>
      <c r="L34" s="14"/>
      <c r="M34" s="14"/>
      <c r="N34" s="14"/>
      <c r="O34" s="14"/>
      <c r="P34" s="14"/>
      <c r="Q34" s="114"/>
      <c r="R34" s="115"/>
      <c r="S34" s="115"/>
      <c r="T34" s="115"/>
      <c r="U34" s="115"/>
      <c r="V34" s="115"/>
      <c r="W34" s="116"/>
      <c r="X34" s="14"/>
      <c r="Y34" s="14"/>
      <c r="Z34" s="14"/>
      <c r="AA34" s="14"/>
      <c r="AB34" s="14"/>
      <c r="AC34" s="14"/>
      <c r="AD34" s="14"/>
      <c r="AE34" s="14"/>
      <c r="AF34" s="14"/>
      <c r="AG34" s="14"/>
      <c r="AH34" s="14"/>
      <c r="AI34" s="14"/>
      <c r="AJ34" s="14"/>
      <c r="AK34" s="14"/>
      <c r="AL34" s="14"/>
      <c r="AM34" s="14"/>
      <c r="AQ34"/>
      <c r="AR34" t="str">
        <f t="shared" si="1"/>
        <v/>
      </c>
      <c r="AS34" s="85">
        <f t="shared" si="5"/>
        <v>0</v>
      </c>
      <c r="AT34" s="85"/>
      <c r="AU34" s="85">
        <f t="shared" si="2"/>
        <v>0</v>
      </c>
      <c r="AV34" s="85">
        <f t="shared" si="6"/>
        <v>0</v>
      </c>
      <c r="AW34">
        <f t="shared" si="7"/>
        <v>0</v>
      </c>
      <c r="AX34" s="86">
        <f>LN(AW34+$J$36)-LN($J$36)</f>
        <v>0</v>
      </c>
      <c r="AY34">
        <f t="shared" si="4"/>
        <v>0</v>
      </c>
    </row>
    <row r="35" spans="1:52" ht="31.25" customHeight="1">
      <c r="A35" s="14"/>
      <c r="B35" s="327" t="s">
        <v>29</v>
      </c>
      <c r="C35" s="16"/>
      <c r="D35" s="330" t="s">
        <v>24</v>
      </c>
      <c r="E35" s="331"/>
      <c r="F35" s="332"/>
      <c r="G35" s="18" t="s">
        <v>16</v>
      </c>
      <c r="H35" s="341" t="s">
        <v>27</v>
      </c>
      <c r="I35" s="342"/>
      <c r="J35" s="330" t="s">
        <v>26</v>
      </c>
      <c r="K35" s="331"/>
      <c r="L35" s="331"/>
      <c r="M35" s="331"/>
      <c r="N35" s="332"/>
      <c r="O35" s="330" t="s">
        <v>17</v>
      </c>
      <c r="P35" s="332"/>
      <c r="Q35" s="170" t="s">
        <v>18</v>
      </c>
      <c r="R35" s="103" t="s">
        <v>178</v>
      </c>
      <c r="S35" s="213" t="s">
        <v>25</v>
      </c>
      <c r="T35" s="214"/>
      <c r="U35" s="103" t="s">
        <v>172</v>
      </c>
      <c r="V35" s="103" t="s">
        <v>222</v>
      </c>
      <c r="W35" s="111" t="s">
        <v>225</v>
      </c>
      <c r="X35" s="14"/>
      <c r="Y35" s="14"/>
      <c r="Z35" s="14"/>
      <c r="AA35" s="14"/>
      <c r="AB35" s="14"/>
      <c r="AC35" s="14"/>
      <c r="AD35" s="14"/>
      <c r="AE35" s="14"/>
      <c r="AF35" s="14"/>
      <c r="AG35" s="14"/>
      <c r="AH35" s="14"/>
      <c r="AI35" s="14"/>
      <c r="AJ35" s="14"/>
      <c r="AK35" s="14"/>
      <c r="AL35" s="14"/>
      <c r="AM35" s="14"/>
      <c r="AQ35"/>
      <c r="AR35" t="str">
        <f t="shared" si="1"/>
        <v/>
      </c>
      <c r="AS35" s="85">
        <f t="shared" si="5"/>
        <v>0</v>
      </c>
      <c r="AT35" s="85"/>
      <c r="AU35" s="85">
        <f t="shared" si="2"/>
        <v>0</v>
      </c>
      <c r="AV35" s="85">
        <f t="shared" si="6"/>
        <v>0</v>
      </c>
      <c r="AW35">
        <f t="shared" si="7"/>
        <v>0</v>
      </c>
      <c r="AX35" s="86">
        <f>LN(AW35+$J$36)-LN($J$36)</f>
        <v>0</v>
      </c>
      <c r="AY35">
        <f t="shared" si="4"/>
        <v>0</v>
      </c>
      <c r="AZ35"/>
    </row>
    <row r="36" spans="1:52" ht="12" customHeight="1">
      <c r="A36" s="14"/>
      <c r="B36" s="328"/>
      <c r="C36" s="19" t="s">
        <v>20</v>
      </c>
      <c r="D36" s="333">
        <v>0.253</v>
      </c>
      <c r="E36" s="334"/>
      <c r="F36" s="335"/>
      <c r="G36" s="26">
        <v>2.41</v>
      </c>
      <c r="H36" s="336">
        <v>4.7</v>
      </c>
      <c r="I36" s="337"/>
      <c r="J36" s="338">
        <v>285.92</v>
      </c>
      <c r="K36" s="339"/>
      <c r="L36" s="339"/>
      <c r="M36" s="339"/>
      <c r="N36" s="340"/>
      <c r="O36" s="385">
        <v>1000</v>
      </c>
      <c r="P36" s="386"/>
      <c r="Q36" s="102">
        <v>288</v>
      </c>
      <c r="R36" s="104">
        <v>3337.06</v>
      </c>
      <c r="S36" s="204">
        <v>6.32</v>
      </c>
      <c r="T36" s="203"/>
      <c r="U36" s="185">
        <f>AVERAGE(36.46,36.59)</f>
        <v>36.525000000000006</v>
      </c>
      <c r="V36" s="185">
        <v>15</v>
      </c>
      <c r="W36" s="173">
        <v>0.43099999999999999</v>
      </c>
      <c r="X36" s="14"/>
      <c r="Y36" s="6"/>
      <c r="Z36" s="14"/>
      <c r="AA36" s="14"/>
      <c r="AB36" s="14"/>
      <c r="AC36" s="14"/>
      <c r="AD36" s="14"/>
      <c r="AE36" s="14"/>
      <c r="AF36" s="14"/>
      <c r="AG36" s="14"/>
      <c r="AH36" s="14"/>
      <c r="AI36" s="14"/>
      <c r="AJ36" s="14"/>
      <c r="AK36" s="14"/>
      <c r="AL36" s="14"/>
      <c r="AM36" s="14"/>
      <c r="AN36" s="14"/>
      <c r="AR36" t="str">
        <f t="shared" si="1"/>
        <v/>
      </c>
      <c r="AS36" s="85">
        <f t="shared" si="5"/>
        <v>0</v>
      </c>
      <c r="AT36" s="85"/>
      <c r="AU36" s="85">
        <f t="shared" si="2"/>
        <v>0</v>
      </c>
      <c r="AV36" s="85">
        <f t="shared" si="6"/>
        <v>0</v>
      </c>
      <c r="AW36">
        <f t="shared" si="7"/>
        <v>0</v>
      </c>
      <c r="AX36" s="86">
        <f>LN(AW36+$J$36)-LN($J$36)</f>
        <v>0</v>
      </c>
      <c r="AY36">
        <f t="shared" si="4"/>
        <v>0</v>
      </c>
      <c r="AZ36"/>
    </row>
    <row r="37" spans="1:52" ht="12" customHeight="1" thickBot="1">
      <c r="A37" s="14"/>
      <c r="B37" s="329"/>
      <c r="C37" s="20" t="s">
        <v>21</v>
      </c>
      <c r="D37" s="343" t="s">
        <v>22</v>
      </c>
      <c r="E37" s="344"/>
      <c r="F37" s="344"/>
      <c r="G37" s="345"/>
      <c r="H37" s="346" t="s">
        <v>23</v>
      </c>
      <c r="I37" s="347"/>
      <c r="J37" s="347"/>
      <c r="K37" s="347"/>
      <c r="L37" s="347"/>
      <c r="M37" s="347"/>
      <c r="N37" s="347"/>
      <c r="O37" s="347"/>
      <c r="P37" s="347"/>
      <c r="Q37" s="348"/>
      <c r="R37" s="364" t="s">
        <v>140</v>
      </c>
      <c r="S37" s="365"/>
      <c r="T37" s="366"/>
      <c r="U37" s="186" t="s">
        <v>185</v>
      </c>
      <c r="V37" s="187" t="s">
        <v>223</v>
      </c>
      <c r="W37" s="188" t="s">
        <v>307</v>
      </c>
      <c r="X37" s="14"/>
      <c r="Y37" s="6"/>
      <c r="Z37" s="14"/>
      <c r="AA37" s="14"/>
      <c r="AB37" s="14"/>
      <c r="AC37" s="14"/>
      <c r="AD37" s="14"/>
      <c r="AE37" s="14"/>
      <c r="AF37" s="14"/>
      <c r="AG37" s="14"/>
      <c r="AH37" s="14"/>
      <c r="AI37" s="14"/>
      <c r="AJ37" s="14"/>
      <c r="AK37" s="14"/>
      <c r="AL37" s="14"/>
      <c r="AM37" s="14"/>
      <c r="AN37" s="14"/>
      <c r="AO37" s="14"/>
      <c r="AP37" s="14"/>
      <c r="AR37" t="str">
        <f t="shared" si="1"/>
        <v/>
      </c>
      <c r="AS37" s="85">
        <f t="shared" si="5"/>
        <v>0</v>
      </c>
      <c r="AT37" s="85"/>
      <c r="AU37" s="85">
        <f t="shared" si="2"/>
        <v>0</v>
      </c>
      <c r="AV37" s="85">
        <f t="shared" si="6"/>
        <v>0</v>
      </c>
      <c r="AW37">
        <f t="shared" si="7"/>
        <v>0</v>
      </c>
      <c r="AX37" s="86">
        <f>LN(AW37+$J$36)-LN($J$36)</f>
        <v>0</v>
      </c>
      <c r="AY37">
        <f t="shared" si="4"/>
        <v>0</v>
      </c>
      <c r="AZ37"/>
    </row>
    <row r="38" spans="1:52" s="14" customFormat="1" ht="14">
      <c r="J38" s="148"/>
      <c r="K38" s="148"/>
      <c r="L38" s="148"/>
      <c r="M38" s="148"/>
      <c r="Y38" s="6"/>
      <c r="AR38" s="117" t="str">
        <f t="shared" si="1"/>
        <v/>
      </c>
      <c r="AS38" s="183">
        <f t="shared" si="5"/>
        <v>0</v>
      </c>
      <c r="AT38" s="183"/>
      <c r="AU38" s="183">
        <f t="shared" si="2"/>
        <v>0</v>
      </c>
      <c r="AV38" s="183">
        <f t="shared" si="6"/>
        <v>0</v>
      </c>
      <c r="AW38" s="117">
        <f t="shared" si="7"/>
        <v>0</v>
      </c>
      <c r="AX38" s="184">
        <f t="shared" ref="AX38:AX69" si="8">LN(AW38+$J$36)-LN($J$36)</f>
        <v>0</v>
      </c>
      <c r="AY38" s="117">
        <f t="shared" si="4"/>
        <v>0</v>
      </c>
      <c r="AZ38" s="117"/>
    </row>
    <row r="39" spans="1:52" s="14" customFormat="1" ht="14">
      <c r="AR39" s="117" t="str">
        <f t="shared" si="1"/>
        <v/>
      </c>
      <c r="AS39" s="183">
        <f t="shared" si="5"/>
        <v>0</v>
      </c>
      <c r="AT39" s="183"/>
      <c r="AU39" s="183">
        <f t="shared" si="2"/>
        <v>0</v>
      </c>
      <c r="AV39" s="183">
        <f t="shared" si="6"/>
        <v>0</v>
      </c>
      <c r="AW39" s="117">
        <f t="shared" si="7"/>
        <v>0</v>
      </c>
      <c r="AX39" s="184">
        <f t="shared" si="8"/>
        <v>0</v>
      </c>
      <c r="AY39" s="117">
        <f t="shared" si="4"/>
        <v>0</v>
      </c>
      <c r="AZ39" s="117"/>
    </row>
    <row r="40" spans="1:52" s="14" customFormat="1" ht="14">
      <c r="AR40" s="117" t="str">
        <f t="shared" si="1"/>
        <v/>
      </c>
      <c r="AS40" s="183">
        <f t="shared" si="5"/>
        <v>0</v>
      </c>
      <c r="AT40" s="183"/>
      <c r="AU40" s="183">
        <f t="shared" si="2"/>
        <v>0</v>
      </c>
      <c r="AV40" s="183">
        <f t="shared" si="6"/>
        <v>0</v>
      </c>
      <c r="AW40" s="117">
        <f t="shared" si="7"/>
        <v>0</v>
      </c>
      <c r="AX40" s="184">
        <f t="shared" si="8"/>
        <v>0</v>
      </c>
      <c r="AY40" s="117">
        <f t="shared" si="4"/>
        <v>0</v>
      </c>
      <c r="AZ40" s="117"/>
    </row>
    <row r="41" spans="1:52" s="14" customFormat="1" ht="14">
      <c r="AR41" s="117" t="str">
        <f t="shared" si="1"/>
        <v/>
      </c>
      <c r="AS41" s="183">
        <f t="shared" si="5"/>
        <v>0</v>
      </c>
      <c r="AT41" s="183"/>
      <c r="AU41" s="183">
        <f t="shared" si="2"/>
        <v>0</v>
      </c>
      <c r="AV41" s="183">
        <f t="shared" si="6"/>
        <v>0</v>
      </c>
      <c r="AW41" s="117">
        <f t="shared" si="7"/>
        <v>0</v>
      </c>
      <c r="AX41" s="184">
        <f t="shared" si="8"/>
        <v>0</v>
      </c>
      <c r="AY41" s="117">
        <f t="shared" si="4"/>
        <v>0</v>
      </c>
      <c r="AZ41" s="117"/>
    </row>
    <row r="42" spans="1:52" s="14" customFormat="1" ht="14">
      <c r="AR42" s="117" t="str">
        <f t="shared" si="1"/>
        <v/>
      </c>
      <c r="AS42" s="183">
        <f t="shared" si="5"/>
        <v>0</v>
      </c>
      <c r="AT42" s="183"/>
      <c r="AU42" s="183">
        <f t="shared" si="2"/>
        <v>0</v>
      </c>
      <c r="AV42" s="183">
        <f t="shared" si="6"/>
        <v>0</v>
      </c>
      <c r="AW42" s="117">
        <f t="shared" si="7"/>
        <v>0</v>
      </c>
      <c r="AX42" s="184">
        <f t="shared" si="8"/>
        <v>0</v>
      </c>
      <c r="AY42" s="117">
        <f t="shared" si="4"/>
        <v>0</v>
      </c>
      <c r="AZ42" s="117"/>
    </row>
    <row r="43" spans="1:52" s="14" customFormat="1" ht="14">
      <c r="AR43" s="117" t="str">
        <f t="shared" si="1"/>
        <v/>
      </c>
      <c r="AS43" s="183">
        <f t="shared" si="5"/>
        <v>0</v>
      </c>
      <c r="AT43" s="183"/>
      <c r="AU43" s="183">
        <f t="shared" si="2"/>
        <v>0</v>
      </c>
      <c r="AV43" s="183">
        <f t="shared" si="6"/>
        <v>0</v>
      </c>
      <c r="AW43" s="117">
        <f t="shared" si="7"/>
        <v>0</v>
      </c>
      <c r="AX43" s="184">
        <f t="shared" si="8"/>
        <v>0</v>
      </c>
      <c r="AY43" s="117">
        <f t="shared" si="4"/>
        <v>0</v>
      </c>
      <c r="AZ43" s="117"/>
    </row>
    <row r="44" spans="1:52" s="14" customFormat="1" ht="14">
      <c r="AR44" s="117" t="str">
        <f t="shared" si="1"/>
        <v/>
      </c>
      <c r="AS44" s="183">
        <f t="shared" si="5"/>
        <v>0</v>
      </c>
      <c r="AT44" s="183"/>
      <c r="AU44" s="183">
        <f t="shared" si="2"/>
        <v>0</v>
      </c>
      <c r="AV44" s="183">
        <f t="shared" si="6"/>
        <v>0</v>
      </c>
      <c r="AW44" s="117">
        <f t="shared" si="7"/>
        <v>0</v>
      </c>
      <c r="AX44" s="184">
        <f t="shared" si="8"/>
        <v>0</v>
      </c>
      <c r="AY44" s="117">
        <f t="shared" si="4"/>
        <v>0</v>
      </c>
      <c r="AZ44" s="117"/>
    </row>
    <row r="45" spans="1:52" s="14" customFormat="1" ht="14">
      <c r="AR45" s="117" t="str">
        <f t="shared" si="1"/>
        <v/>
      </c>
      <c r="AS45" s="183">
        <f t="shared" si="5"/>
        <v>0</v>
      </c>
      <c r="AT45" s="183"/>
      <c r="AU45" s="183">
        <f t="shared" si="2"/>
        <v>0</v>
      </c>
      <c r="AV45" s="183">
        <f t="shared" si="6"/>
        <v>0</v>
      </c>
      <c r="AW45" s="117">
        <f t="shared" si="7"/>
        <v>0</v>
      </c>
      <c r="AX45" s="184">
        <f t="shared" si="8"/>
        <v>0</v>
      </c>
      <c r="AY45" s="117">
        <f t="shared" si="4"/>
        <v>0</v>
      </c>
      <c r="AZ45" s="117"/>
    </row>
    <row r="46" spans="1:52" s="14" customFormat="1" ht="14">
      <c r="AR46" s="117" t="str">
        <f t="shared" si="1"/>
        <v/>
      </c>
      <c r="AS46" s="183">
        <f t="shared" si="5"/>
        <v>0</v>
      </c>
      <c r="AT46" s="183"/>
      <c r="AU46" s="183">
        <f t="shared" si="2"/>
        <v>0</v>
      </c>
      <c r="AV46" s="183">
        <f t="shared" si="6"/>
        <v>0</v>
      </c>
      <c r="AW46" s="117">
        <f t="shared" si="7"/>
        <v>0</v>
      </c>
      <c r="AX46" s="184">
        <f t="shared" si="8"/>
        <v>0</v>
      </c>
      <c r="AY46" s="117">
        <f t="shared" si="4"/>
        <v>0</v>
      </c>
      <c r="AZ46" s="117"/>
    </row>
    <row r="47" spans="1:52" s="14" customFormat="1" ht="14">
      <c r="AR47" s="117" t="str">
        <f t="shared" si="1"/>
        <v/>
      </c>
      <c r="AS47" s="183">
        <f t="shared" si="5"/>
        <v>0</v>
      </c>
      <c r="AT47" s="183"/>
      <c r="AU47" s="183">
        <f t="shared" si="2"/>
        <v>0</v>
      </c>
      <c r="AV47" s="183">
        <f t="shared" si="6"/>
        <v>0</v>
      </c>
      <c r="AW47" s="117">
        <f t="shared" si="7"/>
        <v>0</v>
      </c>
      <c r="AX47" s="184">
        <f t="shared" si="8"/>
        <v>0</v>
      </c>
      <c r="AY47" s="117">
        <f t="shared" si="4"/>
        <v>0</v>
      </c>
      <c r="AZ47" s="117"/>
    </row>
    <row r="48" spans="1:52" s="14" customFormat="1" ht="14">
      <c r="AR48" s="117" t="str">
        <f t="shared" si="1"/>
        <v/>
      </c>
      <c r="AS48" s="183">
        <f t="shared" si="5"/>
        <v>0</v>
      </c>
      <c r="AT48" s="183"/>
      <c r="AU48" s="183">
        <f t="shared" si="2"/>
        <v>0</v>
      </c>
      <c r="AV48" s="183">
        <f t="shared" si="6"/>
        <v>0</v>
      </c>
      <c r="AW48" s="117">
        <f t="shared" si="7"/>
        <v>0</v>
      </c>
      <c r="AX48" s="184">
        <f t="shared" si="8"/>
        <v>0</v>
      </c>
      <c r="AY48" s="117">
        <f t="shared" si="4"/>
        <v>0</v>
      </c>
      <c r="AZ48" s="117"/>
    </row>
    <row r="49" spans="44:52" s="14" customFormat="1" ht="14">
      <c r="AR49" s="117" t="str">
        <f t="shared" si="1"/>
        <v/>
      </c>
      <c r="AS49" s="183">
        <f t="shared" si="5"/>
        <v>0</v>
      </c>
      <c r="AT49" s="183"/>
      <c r="AU49" s="183">
        <f t="shared" si="2"/>
        <v>0</v>
      </c>
      <c r="AV49" s="183">
        <f t="shared" si="6"/>
        <v>0</v>
      </c>
      <c r="AW49" s="117">
        <f t="shared" si="7"/>
        <v>0</v>
      </c>
      <c r="AX49" s="184">
        <f t="shared" si="8"/>
        <v>0</v>
      </c>
      <c r="AY49" s="117">
        <f t="shared" si="4"/>
        <v>0</v>
      </c>
      <c r="AZ49" s="117"/>
    </row>
    <row r="50" spans="44:52" s="14" customFormat="1" ht="14">
      <c r="AR50" s="117" t="str">
        <f t="shared" si="1"/>
        <v/>
      </c>
      <c r="AS50" s="183">
        <f t="shared" si="5"/>
        <v>0</v>
      </c>
      <c r="AT50" s="183"/>
      <c r="AU50" s="183">
        <f t="shared" si="2"/>
        <v>0</v>
      </c>
      <c r="AV50" s="183">
        <f t="shared" si="6"/>
        <v>0</v>
      </c>
      <c r="AW50" s="117">
        <f t="shared" si="7"/>
        <v>0</v>
      </c>
      <c r="AX50" s="184">
        <f t="shared" si="8"/>
        <v>0</v>
      </c>
      <c r="AY50" s="117">
        <f t="shared" si="4"/>
        <v>0</v>
      </c>
      <c r="AZ50" s="117"/>
    </row>
    <row r="51" spans="44:52" s="14" customFormat="1" ht="14">
      <c r="AR51" s="117" t="str">
        <f t="shared" si="1"/>
        <v/>
      </c>
      <c r="AS51" s="183">
        <f t="shared" si="5"/>
        <v>0</v>
      </c>
      <c r="AT51" s="183"/>
      <c r="AU51" s="183">
        <f t="shared" si="2"/>
        <v>0</v>
      </c>
      <c r="AV51" s="183">
        <f t="shared" si="6"/>
        <v>0</v>
      </c>
      <c r="AW51" s="117">
        <f t="shared" si="7"/>
        <v>0</v>
      </c>
      <c r="AX51" s="184">
        <f t="shared" si="8"/>
        <v>0</v>
      </c>
      <c r="AY51" s="117">
        <f t="shared" si="4"/>
        <v>0</v>
      </c>
      <c r="AZ51" s="117"/>
    </row>
    <row r="52" spans="44:52" s="14" customFormat="1" ht="14">
      <c r="AR52" s="117" t="str">
        <f t="shared" si="1"/>
        <v/>
      </c>
      <c r="AS52" s="183">
        <f t="shared" si="5"/>
        <v>0</v>
      </c>
      <c r="AT52" s="183"/>
      <c r="AU52" s="183">
        <f t="shared" si="2"/>
        <v>0</v>
      </c>
      <c r="AV52" s="183">
        <f t="shared" si="6"/>
        <v>0</v>
      </c>
      <c r="AW52" s="117">
        <f t="shared" si="7"/>
        <v>0</v>
      </c>
      <c r="AX52" s="184">
        <f t="shared" si="8"/>
        <v>0</v>
      </c>
      <c r="AY52" s="117">
        <f t="shared" si="4"/>
        <v>0</v>
      </c>
      <c r="AZ52" s="117"/>
    </row>
    <row r="53" spans="44:52" s="14" customFormat="1" ht="14">
      <c r="AR53" s="117" t="str">
        <f t="shared" si="1"/>
        <v/>
      </c>
      <c r="AS53" s="183">
        <f t="shared" si="5"/>
        <v>0</v>
      </c>
      <c r="AT53" s="183"/>
      <c r="AU53" s="183">
        <f t="shared" si="2"/>
        <v>0</v>
      </c>
      <c r="AV53" s="183">
        <f t="shared" si="6"/>
        <v>0</v>
      </c>
      <c r="AW53" s="117">
        <f t="shared" si="7"/>
        <v>0</v>
      </c>
      <c r="AX53" s="184">
        <f t="shared" si="8"/>
        <v>0</v>
      </c>
      <c r="AY53" s="117">
        <f t="shared" si="4"/>
        <v>0</v>
      </c>
      <c r="AZ53" s="117"/>
    </row>
    <row r="54" spans="44:52" s="14" customFormat="1" ht="14">
      <c r="AR54" s="117" t="str">
        <f t="shared" si="1"/>
        <v/>
      </c>
      <c r="AS54" s="183">
        <f t="shared" si="5"/>
        <v>0</v>
      </c>
      <c r="AT54" s="183"/>
      <c r="AU54" s="183">
        <f t="shared" si="2"/>
        <v>0</v>
      </c>
      <c r="AV54" s="183">
        <f t="shared" si="6"/>
        <v>0</v>
      </c>
      <c r="AW54" s="117">
        <f t="shared" si="7"/>
        <v>0</v>
      </c>
      <c r="AX54" s="184">
        <f t="shared" si="8"/>
        <v>0</v>
      </c>
      <c r="AY54" s="117">
        <f t="shared" si="4"/>
        <v>0</v>
      </c>
      <c r="AZ54" s="117"/>
    </row>
    <row r="55" spans="44:52" s="14" customFormat="1" ht="14">
      <c r="AR55" s="117" t="str">
        <f t="shared" si="1"/>
        <v/>
      </c>
      <c r="AS55" s="183">
        <f t="shared" si="5"/>
        <v>0</v>
      </c>
      <c r="AT55" s="183"/>
      <c r="AU55" s="183">
        <f t="shared" si="2"/>
        <v>0</v>
      </c>
      <c r="AV55" s="183">
        <f t="shared" si="6"/>
        <v>0</v>
      </c>
      <c r="AW55" s="117">
        <f t="shared" si="7"/>
        <v>0</v>
      </c>
      <c r="AX55" s="184">
        <f t="shared" si="8"/>
        <v>0</v>
      </c>
      <c r="AY55" s="117">
        <f t="shared" si="4"/>
        <v>0</v>
      </c>
      <c r="AZ55" s="117"/>
    </row>
    <row r="56" spans="44:52" s="14" customFormat="1" ht="14">
      <c r="AR56" s="117" t="str">
        <f t="shared" si="1"/>
        <v/>
      </c>
      <c r="AS56" s="183">
        <f t="shared" si="5"/>
        <v>0</v>
      </c>
      <c r="AT56" s="183"/>
      <c r="AU56" s="183">
        <f t="shared" si="2"/>
        <v>0</v>
      </c>
      <c r="AV56" s="183">
        <f t="shared" si="6"/>
        <v>0</v>
      </c>
      <c r="AW56" s="117">
        <f t="shared" si="7"/>
        <v>0</v>
      </c>
      <c r="AX56" s="184">
        <f t="shared" si="8"/>
        <v>0</v>
      </c>
      <c r="AY56" s="117">
        <f t="shared" si="4"/>
        <v>0</v>
      </c>
      <c r="AZ56" s="117"/>
    </row>
    <row r="57" spans="44:52" s="14" customFormat="1" ht="14">
      <c r="AR57" s="117" t="str">
        <f t="shared" si="1"/>
        <v/>
      </c>
      <c r="AS57" s="183">
        <f t="shared" si="5"/>
        <v>0</v>
      </c>
      <c r="AT57" s="183"/>
      <c r="AU57" s="183">
        <f t="shared" si="2"/>
        <v>0</v>
      </c>
      <c r="AV57" s="183">
        <f t="shared" si="6"/>
        <v>0</v>
      </c>
      <c r="AW57" s="117">
        <f t="shared" si="7"/>
        <v>0</v>
      </c>
      <c r="AX57" s="184">
        <f t="shared" si="8"/>
        <v>0</v>
      </c>
      <c r="AY57" s="117">
        <f t="shared" si="4"/>
        <v>0</v>
      </c>
      <c r="AZ57" s="117"/>
    </row>
    <row r="58" spans="44:52" s="14" customFormat="1" ht="14">
      <c r="AR58" s="117" t="str">
        <f t="shared" si="1"/>
        <v/>
      </c>
      <c r="AS58" s="183">
        <f t="shared" si="5"/>
        <v>0</v>
      </c>
      <c r="AT58" s="183"/>
      <c r="AU58" s="183">
        <f t="shared" si="2"/>
        <v>0</v>
      </c>
      <c r="AV58" s="183">
        <f t="shared" si="6"/>
        <v>0</v>
      </c>
      <c r="AW58" s="117">
        <f t="shared" si="7"/>
        <v>0</v>
      </c>
      <c r="AX58" s="184">
        <f t="shared" si="8"/>
        <v>0</v>
      </c>
      <c r="AY58" s="117">
        <f t="shared" si="4"/>
        <v>0</v>
      </c>
      <c r="AZ58" s="117"/>
    </row>
    <row r="59" spans="44:52" s="14" customFormat="1" ht="14">
      <c r="AR59" s="117" t="str">
        <f t="shared" si="1"/>
        <v/>
      </c>
      <c r="AS59" s="183">
        <f t="shared" si="5"/>
        <v>0</v>
      </c>
      <c r="AT59" s="183"/>
      <c r="AU59" s="183">
        <f t="shared" si="2"/>
        <v>0</v>
      </c>
      <c r="AV59" s="183">
        <f t="shared" si="6"/>
        <v>0</v>
      </c>
      <c r="AW59" s="117">
        <f t="shared" si="7"/>
        <v>0</v>
      </c>
      <c r="AX59" s="184">
        <f t="shared" si="8"/>
        <v>0</v>
      </c>
      <c r="AY59" s="117">
        <f t="shared" si="4"/>
        <v>0</v>
      </c>
      <c r="AZ59" s="117"/>
    </row>
    <row r="60" spans="44:52" s="14" customFormat="1" ht="14">
      <c r="AR60" s="117" t="str">
        <f t="shared" si="1"/>
        <v/>
      </c>
      <c r="AS60" s="183">
        <f t="shared" si="5"/>
        <v>0</v>
      </c>
      <c r="AT60" s="183"/>
      <c r="AU60" s="183">
        <f t="shared" si="2"/>
        <v>0</v>
      </c>
      <c r="AV60" s="183">
        <f t="shared" si="6"/>
        <v>0</v>
      </c>
      <c r="AW60" s="117">
        <f t="shared" si="7"/>
        <v>0</v>
      </c>
      <c r="AX60" s="184">
        <f t="shared" si="8"/>
        <v>0</v>
      </c>
      <c r="AY60" s="117">
        <f t="shared" si="4"/>
        <v>0</v>
      </c>
      <c r="AZ60" s="117"/>
    </row>
    <row r="61" spans="44:52" s="14" customFormat="1" ht="14">
      <c r="AR61" s="117" t="str">
        <f t="shared" si="1"/>
        <v/>
      </c>
      <c r="AS61" s="183">
        <f t="shared" si="5"/>
        <v>0</v>
      </c>
      <c r="AT61" s="183"/>
      <c r="AU61" s="183">
        <f t="shared" si="2"/>
        <v>0</v>
      </c>
      <c r="AV61" s="183">
        <f t="shared" si="6"/>
        <v>0</v>
      </c>
      <c r="AW61" s="117">
        <f t="shared" si="7"/>
        <v>0</v>
      </c>
      <c r="AX61" s="184">
        <f t="shared" si="8"/>
        <v>0</v>
      </c>
      <c r="AY61" s="117">
        <f t="shared" si="4"/>
        <v>0</v>
      </c>
      <c r="AZ61" s="117"/>
    </row>
    <row r="62" spans="44:52" s="14" customFormat="1" ht="14">
      <c r="AR62" s="117" t="str">
        <f t="shared" si="1"/>
        <v/>
      </c>
      <c r="AS62" s="183">
        <f t="shared" si="5"/>
        <v>0</v>
      </c>
      <c r="AT62" s="183"/>
      <c r="AU62" s="183">
        <f t="shared" si="2"/>
        <v>0</v>
      </c>
      <c r="AV62" s="183">
        <f t="shared" si="6"/>
        <v>0</v>
      </c>
      <c r="AW62" s="117">
        <f t="shared" si="7"/>
        <v>0</v>
      </c>
      <c r="AX62" s="184">
        <f t="shared" si="8"/>
        <v>0</v>
      </c>
      <c r="AY62" s="117">
        <f t="shared" si="4"/>
        <v>0</v>
      </c>
      <c r="AZ62" s="117"/>
    </row>
    <row r="63" spans="44:52" s="14" customFormat="1" ht="14">
      <c r="AR63" s="117" t="str">
        <f t="shared" si="1"/>
        <v/>
      </c>
      <c r="AS63" s="183">
        <f t="shared" si="5"/>
        <v>0</v>
      </c>
      <c r="AT63" s="183"/>
      <c r="AU63" s="183">
        <f t="shared" si="2"/>
        <v>0</v>
      </c>
      <c r="AV63" s="183">
        <f t="shared" si="6"/>
        <v>0</v>
      </c>
      <c r="AW63" s="117">
        <f t="shared" si="7"/>
        <v>0</v>
      </c>
      <c r="AX63" s="184">
        <f t="shared" si="8"/>
        <v>0</v>
      </c>
      <c r="AY63" s="117">
        <f t="shared" si="4"/>
        <v>0</v>
      </c>
      <c r="AZ63" s="117"/>
    </row>
    <row r="64" spans="44:52" s="14" customFormat="1" ht="14">
      <c r="AR64" s="117" t="str">
        <f t="shared" si="1"/>
        <v/>
      </c>
      <c r="AS64" s="183">
        <f t="shared" si="5"/>
        <v>0</v>
      </c>
      <c r="AT64" s="183"/>
      <c r="AU64" s="183">
        <f t="shared" si="2"/>
        <v>0</v>
      </c>
      <c r="AV64" s="183">
        <f t="shared" si="6"/>
        <v>0</v>
      </c>
      <c r="AW64" s="117">
        <f t="shared" si="7"/>
        <v>0</v>
      </c>
      <c r="AX64" s="184">
        <f t="shared" si="8"/>
        <v>0</v>
      </c>
      <c r="AY64" s="117">
        <f t="shared" si="4"/>
        <v>0</v>
      </c>
      <c r="AZ64" s="117"/>
    </row>
    <row r="65" spans="44:52" s="14" customFormat="1" ht="14">
      <c r="AR65" s="117" t="str">
        <f t="shared" si="1"/>
        <v/>
      </c>
      <c r="AS65" s="183">
        <f t="shared" si="5"/>
        <v>0</v>
      </c>
      <c r="AT65" s="183"/>
      <c r="AU65" s="183">
        <f t="shared" si="2"/>
        <v>0</v>
      </c>
      <c r="AV65" s="183">
        <f t="shared" si="6"/>
        <v>0</v>
      </c>
      <c r="AW65" s="117">
        <f t="shared" si="7"/>
        <v>0</v>
      </c>
      <c r="AX65" s="184">
        <f t="shared" si="8"/>
        <v>0</v>
      </c>
      <c r="AY65" s="117">
        <f t="shared" si="4"/>
        <v>0</v>
      </c>
      <c r="AZ65" s="117"/>
    </row>
    <row r="66" spans="44:52" s="14" customFormat="1" ht="14">
      <c r="AR66" s="117" t="str">
        <f t="shared" si="1"/>
        <v/>
      </c>
      <c r="AS66" s="183">
        <f t="shared" si="5"/>
        <v>0</v>
      </c>
      <c r="AT66" s="183"/>
      <c r="AU66" s="183">
        <f t="shared" si="2"/>
        <v>0</v>
      </c>
      <c r="AV66" s="183">
        <f t="shared" si="6"/>
        <v>0</v>
      </c>
      <c r="AW66" s="117">
        <f t="shared" si="7"/>
        <v>0</v>
      </c>
      <c r="AX66" s="184">
        <f t="shared" si="8"/>
        <v>0</v>
      </c>
      <c r="AY66" s="117">
        <f t="shared" si="4"/>
        <v>0</v>
      </c>
      <c r="AZ66" s="117"/>
    </row>
    <row r="67" spans="44:52" s="14" customFormat="1" ht="14">
      <c r="AR67" s="117" t="str">
        <f t="shared" si="1"/>
        <v/>
      </c>
      <c r="AS67" s="183">
        <f t="shared" si="5"/>
        <v>0</v>
      </c>
      <c r="AT67" s="183"/>
      <c r="AU67" s="183">
        <f t="shared" si="2"/>
        <v>0</v>
      </c>
      <c r="AV67" s="183">
        <f t="shared" si="6"/>
        <v>0</v>
      </c>
      <c r="AW67" s="117">
        <f t="shared" si="7"/>
        <v>0</v>
      </c>
      <c r="AX67" s="184">
        <f t="shared" si="8"/>
        <v>0</v>
      </c>
      <c r="AY67" s="117">
        <f t="shared" si="4"/>
        <v>0</v>
      </c>
      <c r="AZ67" s="117"/>
    </row>
    <row r="68" spans="44:52" s="14" customFormat="1" ht="14">
      <c r="AR68" s="117" t="str">
        <f t="shared" si="1"/>
        <v/>
      </c>
      <c r="AS68" s="183">
        <f t="shared" si="5"/>
        <v>0</v>
      </c>
      <c r="AT68" s="183"/>
      <c r="AU68" s="183">
        <f t="shared" si="2"/>
        <v>0</v>
      </c>
      <c r="AV68" s="183">
        <f t="shared" si="6"/>
        <v>0</v>
      </c>
      <c r="AW68" s="117">
        <f t="shared" si="7"/>
        <v>0</v>
      </c>
      <c r="AX68" s="184">
        <f t="shared" si="8"/>
        <v>0</v>
      </c>
      <c r="AY68" s="117">
        <f t="shared" si="4"/>
        <v>0</v>
      </c>
      <c r="AZ68" s="117"/>
    </row>
    <row r="69" spans="44:52" s="14" customFormat="1" ht="14">
      <c r="AR69" s="117" t="str">
        <f t="shared" si="1"/>
        <v/>
      </c>
      <c r="AS69" s="183">
        <f t="shared" si="5"/>
        <v>0</v>
      </c>
      <c r="AT69" s="183"/>
      <c r="AU69" s="183">
        <f t="shared" si="2"/>
        <v>0</v>
      </c>
      <c r="AV69" s="183">
        <f t="shared" si="6"/>
        <v>0</v>
      </c>
      <c r="AW69" s="117">
        <f t="shared" si="7"/>
        <v>0</v>
      </c>
      <c r="AX69" s="184">
        <f t="shared" si="8"/>
        <v>0</v>
      </c>
      <c r="AY69" s="117">
        <f t="shared" si="4"/>
        <v>0</v>
      </c>
      <c r="AZ69" s="117"/>
    </row>
    <row r="70" spans="44:52" s="14" customFormat="1" ht="14">
      <c r="AR70" s="117" t="str">
        <f t="shared" si="1"/>
        <v/>
      </c>
      <c r="AS70" s="183">
        <f t="shared" si="5"/>
        <v>0</v>
      </c>
      <c r="AT70" s="183"/>
      <c r="AU70" s="183">
        <f t="shared" si="2"/>
        <v>0</v>
      </c>
      <c r="AV70" s="183">
        <f t="shared" si="6"/>
        <v>0</v>
      </c>
      <c r="AW70" s="117">
        <f t="shared" si="7"/>
        <v>0</v>
      </c>
      <c r="AX70" s="184">
        <f t="shared" ref="AX70:AX101" si="9">LN(AW70+$J$36)-LN($J$36)</f>
        <v>0</v>
      </c>
      <c r="AY70" s="117">
        <f t="shared" si="4"/>
        <v>0</v>
      </c>
      <c r="AZ70" s="117"/>
    </row>
    <row r="71" spans="44:52" s="14" customFormat="1" ht="14">
      <c r="AR71" s="117" t="str">
        <f t="shared" ref="AR71:AR113" si="10">IF(AR70&lt;$D$14,AR70+1,"")</f>
        <v/>
      </c>
      <c r="AS71" s="183">
        <f t="shared" si="5"/>
        <v>0</v>
      </c>
      <c r="AT71" s="183"/>
      <c r="AU71" s="183">
        <f t="shared" ref="AU71:AU113" si="11">$D$10*AS71</f>
        <v>0</v>
      </c>
      <c r="AV71" s="183">
        <f t="shared" si="6"/>
        <v>0</v>
      </c>
      <c r="AW71" s="117">
        <f t="shared" si="7"/>
        <v>0</v>
      </c>
      <c r="AX71" s="184">
        <f t="shared" si="9"/>
        <v>0</v>
      </c>
      <c r="AY71" s="117">
        <f t="shared" ref="AY71:AY113" si="12">IF(ISNUMBER(AR71),AX71/(1+$D$7)^AR71,0)</f>
        <v>0</v>
      </c>
      <c r="AZ71" s="117"/>
    </row>
    <row r="72" spans="44:52" s="14" customFormat="1" ht="14">
      <c r="AR72" s="117" t="str">
        <f t="shared" si="10"/>
        <v/>
      </c>
      <c r="AS72" s="183">
        <f t="shared" ref="AS72:AS113" si="13">IF(ISNUMBER(AR72),AV71,0)</f>
        <v>0</v>
      </c>
      <c r="AT72" s="183"/>
      <c r="AU72" s="183">
        <f t="shared" si="11"/>
        <v>0</v>
      </c>
      <c r="AV72" s="183">
        <f t="shared" ref="AV72:AV113" si="14">AS72</f>
        <v>0</v>
      </c>
      <c r="AW72" s="117">
        <f t="shared" si="7"/>
        <v>0</v>
      </c>
      <c r="AX72" s="184">
        <f t="shared" si="9"/>
        <v>0</v>
      </c>
      <c r="AY72" s="117">
        <f t="shared" si="12"/>
        <v>0</v>
      </c>
      <c r="AZ72" s="117"/>
    </row>
    <row r="73" spans="44:52" s="14" customFormat="1" ht="14">
      <c r="AR73" s="117" t="str">
        <f t="shared" si="10"/>
        <v/>
      </c>
      <c r="AS73" s="183">
        <f t="shared" si="13"/>
        <v>0</v>
      </c>
      <c r="AT73" s="183"/>
      <c r="AU73" s="183">
        <f t="shared" si="11"/>
        <v>0</v>
      </c>
      <c r="AV73" s="183">
        <f t="shared" si="14"/>
        <v>0</v>
      </c>
      <c r="AW73" s="117">
        <f t="shared" si="7"/>
        <v>0</v>
      </c>
      <c r="AX73" s="184">
        <f t="shared" si="9"/>
        <v>0</v>
      </c>
      <c r="AY73" s="117">
        <f t="shared" si="12"/>
        <v>0</v>
      </c>
      <c r="AZ73" s="117"/>
    </row>
    <row r="74" spans="44:52" s="14" customFormat="1" ht="14">
      <c r="AR74" s="117" t="str">
        <f t="shared" si="10"/>
        <v/>
      </c>
      <c r="AS74" s="183">
        <f t="shared" si="13"/>
        <v>0</v>
      </c>
      <c r="AT74" s="183"/>
      <c r="AU74" s="183">
        <f t="shared" si="11"/>
        <v>0</v>
      </c>
      <c r="AV74" s="183">
        <f t="shared" si="14"/>
        <v>0</v>
      </c>
      <c r="AW74" s="117">
        <f t="shared" si="7"/>
        <v>0</v>
      </c>
      <c r="AX74" s="184">
        <f t="shared" si="9"/>
        <v>0</v>
      </c>
      <c r="AY74" s="117">
        <f t="shared" si="12"/>
        <v>0</v>
      </c>
      <c r="AZ74" s="117"/>
    </row>
    <row r="75" spans="44:52" s="14" customFormat="1" ht="14">
      <c r="AR75" s="117" t="str">
        <f t="shared" si="10"/>
        <v/>
      </c>
      <c r="AS75" s="183">
        <f t="shared" si="13"/>
        <v>0</v>
      </c>
      <c r="AT75" s="183"/>
      <c r="AU75" s="183">
        <f t="shared" si="11"/>
        <v>0</v>
      </c>
      <c r="AV75" s="183">
        <f t="shared" si="14"/>
        <v>0</v>
      </c>
      <c r="AW75" s="117">
        <f t="shared" si="7"/>
        <v>0</v>
      </c>
      <c r="AX75" s="184">
        <f t="shared" si="9"/>
        <v>0</v>
      </c>
      <c r="AY75" s="117">
        <f t="shared" si="12"/>
        <v>0</v>
      </c>
      <c r="AZ75" s="117"/>
    </row>
    <row r="76" spans="44:52" s="14" customFormat="1" ht="14">
      <c r="AR76" s="117" t="str">
        <f t="shared" si="10"/>
        <v/>
      </c>
      <c r="AS76" s="183">
        <f t="shared" si="13"/>
        <v>0</v>
      </c>
      <c r="AT76" s="183"/>
      <c r="AU76" s="183">
        <f t="shared" si="11"/>
        <v>0</v>
      </c>
      <c r="AV76" s="183">
        <f t="shared" si="14"/>
        <v>0</v>
      </c>
      <c r="AW76" s="117">
        <f t="shared" si="7"/>
        <v>0</v>
      </c>
      <c r="AX76" s="184">
        <f t="shared" si="9"/>
        <v>0</v>
      </c>
      <c r="AY76" s="117">
        <f t="shared" si="12"/>
        <v>0</v>
      </c>
      <c r="AZ76" s="117"/>
    </row>
    <row r="77" spans="44:52" s="14" customFormat="1" ht="14">
      <c r="AR77" s="117" t="str">
        <f t="shared" si="10"/>
        <v/>
      </c>
      <c r="AS77" s="183">
        <f t="shared" si="13"/>
        <v>0</v>
      </c>
      <c r="AT77" s="183"/>
      <c r="AU77" s="183">
        <f t="shared" si="11"/>
        <v>0</v>
      </c>
      <c r="AV77" s="183">
        <f t="shared" si="14"/>
        <v>0</v>
      </c>
      <c r="AW77" s="117">
        <f t="shared" si="7"/>
        <v>0</v>
      </c>
      <c r="AX77" s="184">
        <f t="shared" si="9"/>
        <v>0</v>
      </c>
      <c r="AY77" s="117">
        <f t="shared" si="12"/>
        <v>0</v>
      </c>
      <c r="AZ77" s="117"/>
    </row>
    <row r="78" spans="44:52" s="14" customFormat="1" ht="14">
      <c r="AR78" s="117" t="str">
        <f t="shared" si="10"/>
        <v/>
      </c>
      <c r="AS78" s="183">
        <f t="shared" si="13"/>
        <v>0</v>
      </c>
      <c r="AT78" s="183"/>
      <c r="AU78" s="183">
        <f t="shared" si="11"/>
        <v>0</v>
      </c>
      <c r="AV78" s="183">
        <f t="shared" si="14"/>
        <v>0</v>
      </c>
      <c r="AW78" s="117">
        <f t="shared" si="7"/>
        <v>0</v>
      </c>
      <c r="AX78" s="184">
        <f t="shared" si="9"/>
        <v>0</v>
      </c>
      <c r="AY78" s="117">
        <f t="shared" si="12"/>
        <v>0</v>
      </c>
      <c r="AZ78" s="117"/>
    </row>
    <row r="79" spans="44:52" s="14" customFormat="1" ht="14">
      <c r="AR79" s="117" t="str">
        <f t="shared" si="10"/>
        <v/>
      </c>
      <c r="AS79" s="183">
        <f t="shared" si="13"/>
        <v>0</v>
      </c>
      <c r="AT79" s="183"/>
      <c r="AU79" s="183">
        <f t="shared" si="11"/>
        <v>0</v>
      </c>
      <c r="AV79" s="183">
        <f t="shared" si="14"/>
        <v>0</v>
      </c>
      <c r="AW79" s="117">
        <f t="shared" si="7"/>
        <v>0</v>
      </c>
      <c r="AX79" s="184">
        <f t="shared" si="9"/>
        <v>0</v>
      </c>
      <c r="AY79" s="117">
        <f t="shared" si="12"/>
        <v>0</v>
      </c>
      <c r="AZ79" s="117"/>
    </row>
    <row r="80" spans="44:52" s="14" customFormat="1" ht="14">
      <c r="AR80" s="117" t="str">
        <f t="shared" si="10"/>
        <v/>
      </c>
      <c r="AS80" s="183">
        <f t="shared" si="13"/>
        <v>0</v>
      </c>
      <c r="AT80" s="183"/>
      <c r="AU80" s="183">
        <f t="shared" si="11"/>
        <v>0</v>
      </c>
      <c r="AV80" s="183">
        <f t="shared" si="14"/>
        <v>0</v>
      </c>
      <c r="AW80" s="117">
        <f t="shared" si="7"/>
        <v>0</v>
      </c>
      <c r="AX80" s="184">
        <f t="shared" si="9"/>
        <v>0</v>
      </c>
      <c r="AY80" s="117">
        <f t="shared" si="12"/>
        <v>0</v>
      </c>
      <c r="AZ80" s="117"/>
    </row>
    <row r="81" spans="44:52" s="14" customFormat="1" ht="14">
      <c r="AR81" s="117" t="str">
        <f t="shared" si="10"/>
        <v/>
      </c>
      <c r="AS81" s="183">
        <f t="shared" si="13"/>
        <v>0</v>
      </c>
      <c r="AT81" s="183"/>
      <c r="AU81" s="183">
        <f t="shared" si="11"/>
        <v>0</v>
      </c>
      <c r="AV81" s="183">
        <f t="shared" si="14"/>
        <v>0</v>
      </c>
      <c r="AW81" s="117">
        <f t="shared" ref="AW81:AW113" si="15">IF(ISNUMBER(AR82),SUM(AT81:AU81),SUM(AT81:AV81))</f>
        <v>0</v>
      </c>
      <c r="AX81" s="184">
        <f t="shared" si="9"/>
        <v>0</v>
      </c>
      <c r="AY81" s="117">
        <f t="shared" si="12"/>
        <v>0</v>
      </c>
      <c r="AZ81" s="117"/>
    </row>
    <row r="82" spans="44:52" s="14" customFormat="1" ht="14">
      <c r="AR82" s="117" t="str">
        <f t="shared" si="10"/>
        <v/>
      </c>
      <c r="AS82" s="183">
        <f t="shared" si="13"/>
        <v>0</v>
      </c>
      <c r="AT82" s="183"/>
      <c r="AU82" s="183">
        <f t="shared" si="11"/>
        <v>0</v>
      </c>
      <c r="AV82" s="183">
        <f t="shared" si="14"/>
        <v>0</v>
      </c>
      <c r="AW82" s="117">
        <f t="shared" si="15"/>
        <v>0</v>
      </c>
      <c r="AX82" s="184">
        <f t="shared" si="9"/>
        <v>0</v>
      </c>
      <c r="AY82" s="117">
        <f t="shared" si="12"/>
        <v>0</v>
      </c>
      <c r="AZ82" s="117"/>
    </row>
    <row r="83" spans="44:52" s="14" customFormat="1" ht="14">
      <c r="AR83" s="117" t="str">
        <f t="shared" si="10"/>
        <v/>
      </c>
      <c r="AS83" s="183">
        <f t="shared" si="13"/>
        <v>0</v>
      </c>
      <c r="AT83" s="183"/>
      <c r="AU83" s="183">
        <f t="shared" si="11"/>
        <v>0</v>
      </c>
      <c r="AV83" s="183">
        <f t="shared" si="14"/>
        <v>0</v>
      </c>
      <c r="AW83" s="117">
        <f t="shared" si="15"/>
        <v>0</v>
      </c>
      <c r="AX83" s="184">
        <f t="shared" si="9"/>
        <v>0</v>
      </c>
      <c r="AY83" s="117">
        <f t="shared" si="12"/>
        <v>0</v>
      </c>
      <c r="AZ83" s="117"/>
    </row>
    <row r="84" spans="44:52" s="14" customFormat="1" ht="14">
      <c r="AR84" s="117" t="str">
        <f t="shared" si="10"/>
        <v/>
      </c>
      <c r="AS84" s="183">
        <f t="shared" si="13"/>
        <v>0</v>
      </c>
      <c r="AT84" s="183"/>
      <c r="AU84" s="183">
        <f t="shared" si="11"/>
        <v>0</v>
      </c>
      <c r="AV84" s="183">
        <f t="shared" si="14"/>
        <v>0</v>
      </c>
      <c r="AW84" s="117">
        <f t="shared" si="15"/>
        <v>0</v>
      </c>
      <c r="AX84" s="184">
        <f t="shared" si="9"/>
        <v>0</v>
      </c>
      <c r="AY84" s="117">
        <f t="shared" si="12"/>
        <v>0</v>
      </c>
      <c r="AZ84" s="117"/>
    </row>
    <row r="85" spans="44:52" s="14" customFormat="1" ht="14">
      <c r="AR85" s="117" t="str">
        <f t="shared" si="10"/>
        <v/>
      </c>
      <c r="AS85" s="183">
        <f t="shared" si="13"/>
        <v>0</v>
      </c>
      <c r="AT85" s="183"/>
      <c r="AU85" s="183">
        <f t="shared" si="11"/>
        <v>0</v>
      </c>
      <c r="AV85" s="183">
        <f t="shared" si="14"/>
        <v>0</v>
      </c>
      <c r="AW85" s="117">
        <f t="shared" si="15"/>
        <v>0</v>
      </c>
      <c r="AX85" s="184">
        <f t="shared" si="9"/>
        <v>0</v>
      </c>
      <c r="AY85" s="117">
        <f t="shared" si="12"/>
        <v>0</v>
      </c>
      <c r="AZ85" s="117"/>
    </row>
    <row r="86" spans="44:52" s="14" customFormat="1" ht="14">
      <c r="AR86" s="117" t="str">
        <f t="shared" si="10"/>
        <v/>
      </c>
      <c r="AS86" s="183">
        <f t="shared" si="13"/>
        <v>0</v>
      </c>
      <c r="AT86" s="183"/>
      <c r="AU86" s="183">
        <f t="shared" si="11"/>
        <v>0</v>
      </c>
      <c r="AV86" s="183">
        <f t="shared" si="14"/>
        <v>0</v>
      </c>
      <c r="AW86" s="117">
        <f t="shared" si="15"/>
        <v>0</v>
      </c>
      <c r="AX86" s="184">
        <f t="shared" si="9"/>
        <v>0</v>
      </c>
      <c r="AY86" s="117">
        <f t="shared" si="12"/>
        <v>0</v>
      </c>
      <c r="AZ86" s="117"/>
    </row>
    <row r="87" spans="44:52" s="14" customFormat="1" ht="14">
      <c r="AR87" s="117" t="str">
        <f t="shared" si="10"/>
        <v/>
      </c>
      <c r="AS87" s="183">
        <f t="shared" si="13"/>
        <v>0</v>
      </c>
      <c r="AT87" s="183"/>
      <c r="AU87" s="183">
        <f t="shared" si="11"/>
        <v>0</v>
      </c>
      <c r="AV87" s="183">
        <f t="shared" si="14"/>
        <v>0</v>
      </c>
      <c r="AW87" s="117">
        <f t="shared" si="15"/>
        <v>0</v>
      </c>
      <c r="AX87" s="184">
        <f t="shared" si="9"/>
        <v>0</v>
      </c>
      <c r="AY87" s="117">
        <f t="shared" si="12"/>
        <v>0</v>
      </c>
      <c r="AZ87" s="117"/>
    </row>
    <row r="88" spans="44:52" s="14" customFormat="1" ht="14">
      <c r="AR88" s="117" t="str">
        <f t="shared" si="10"/>
        <v/>
      </c>
      <c r="AS88" s="183">
        <f t="shared" si="13"/>
        <v>0</v>
      </c>
      <c r="AT88" s="183"/>
      <c r="AU88" s="183">
        <f t="shared" si="11"/>
        <v>0</v>
      </c>
      <c r="AV88" s="183">
        <f t="shared" si="14"/>
        <v>0</v>
      </c>
      <c r="AW88" s="117">
        <f t="shared" si="15"/>
        <v>0</v>
      </c>
      <c r="AX88" s="184">
        <f t="shared" si="9"/>
        <v>0</v>
      </c>
      <c r="AY88" s="117">
        <f t="shared" si="12"/>
        <v>0</v>
      </c>
      <c r="AZ88" s="117"/>
    </row>
    <row r="89" spans="44:52" s="14" customFormat="1" ht="14">
      <c r="AR89" s="117" t="str">
        <f t="shared" si="10"/>
        <v/>
      </c>
      <c r="AS89" s="183">
        <f t="shared" si="13"/>
        <v>0</v>
      </c>
      <c r="AT89" s="183"/>
      <c r="AU89" s="183">
        <f t="shared" si="11"/>
        <v>0</v>
      </c>
      <c r="AV89" s="183">
        <f t="shared" si="14"/>
        <v>0</v>
      </c>
      <c r="AW89" s="117">
        <f t="shared" si="15"/>
        <v>0</v>
      </c>
      <c r="AX89" s="184">
        <f t="shared" si="9"/>
        <v>0</v>
      </c>
      <c r="AY89" s="117">
        <f t="shared" si="12"/>
        <v>0</v>
      </c>
      <c r="AZ89" s="117"/>
    </row>
    <row r="90" spans="44:52" s="14" customFormat="1" ht="14">
      <c r="AR90" s="117" t="str">
        <f t="shared" si="10"/>
        <v/>
      </c>
      <c r="AS90" s="183">
        <f t="shared" si="13"/>
        <v>0</v>
      </c>
      <c r="AT90" s="183"/>
      <c r="AU90" s="183">
        <f t="shared" si="11"/>
        <v>0</v>
      </c>
      <c r="AV90" s="183">
        <f t="shared" si="14"/>
        <v>0</v>
      </c>
      <c r="AW90" s="117">
        <f t="shared" si="15"/>
        <v>0</v>
      </c>
      <c r="AX90" s="184">
        <f t="shared" si="9"/>
        <v>0</v>
      </c>
      <c r="AY90" s="117">
        <f t="shared" si="12"/>
        <v>0</v>
      </c>
      <c r="AZ90" s="117"/>
    </row>
    <row r="91" spans="44:52" s="14" customFormat="1" ht="14">
      <c r="AR91" s="117" t="str">
        <f t="shared" si="10"/>
        <v/>
      </c>
      <c r="AS91" s="183">
        <f t="shared" si="13"/>
        <v>0</v>
      </c>
      <c r="AT91" s="183"/>
      <c r="AU91" s="183">
        <f t="shared" si="11"/>
        <v>0</v>
      </c>
      <c r="AV91" s="183">
        <f t="shared" si="14"/>
        <v>0</v>
      </c>
      <c r="AW91" s="117">
        <f t="shared" si="15"/>
        <v>0</v>
      </c>
      <c r="AX91" s="184">
        <f t="shared" si="9"/>
        <v>0</v>
      </c>
      <c r="AY91" s="117">
        <f t="shared" si="12"/>
        <v>0</v>
      </c>
      <c r="AZ91" s="117"/>
    </row>
    <row r="92" spans="44:52" s="14" customFormat="1" ht="14">
      <c r="AR92" s="117" t="str">
        <f t="shared" si="10"/>
        <v/>
      </c>
      <c r="AS92" s="183">
        <f t="shared" si="13"/>
        <v>0</v>
      </c>
      <c r="AT92" s="183"/>
      <c r="AU92" s="183">
        <f t="shared" si="11"/>
        <v>0</v>
      </c>
      <c r="AV92" s="183">
        <f t="shared" si="14"/>
        <v>0</v>
      </c>
      <c r="AW92" s="117">
        <f t="shared" si="15"/>
        <v>0</v>
      </c>
      <c r="AX92" s="184">
        <f t="shared" si="9"/>
        <v>0</v>
      </c>
      <c r="AY92" s="117">
        <f t="shared" si="12"/>
        <v>0</v>
      </c>
      <c r="AZ92" s="117"/>
    </row>
    <row r="93" spans="44:52" s="14" customFormat="1" ht="14">
      <c r="AR93" s="117" t="str">
        <f t="shared" si="10"/>
        <v/>
      </c>
      <c r="AS93" s="183">
        <f t="shared" si="13"/>
        <v>0</v>
      </c>
      <c r="AT93" s="183"/>
      <c r="AU93" s="183">
        <f t="shared" si="11"/>
        <v>0</v>
      </c>
      <c r="AV93" s="183">
        <f t="shared" si="14"/>
        <v>0</v>
      </c>
      <c r="AW93" s="117">
        <f t="shared" si="15"/>
        <v>0</v>
      </c>
      <c r="AX93" s="184">
        <f t="shared" si="9"/>
        <v>0</v>
      </c>
      <c r="AY93" s="117">
        <f t="shared" si="12"/>
        <v>0</v>
      </c>
      <c r="AZ93" s="117"/>
    </row>
    <row r="94" spans="44:52" s="14" customFormat="1" ht="14">
      <c r="AR94" s="117" t="str">
        <f t="shared" si="10"/>
        <v/>
      </c>
      <c r="AS94" s="183">
        <f t="shared" si="13"/>
        <v>0</v>
      </c>
      <c r="AT94" s="183"/>
      <c r="AU94" s="183">
        <f t="shared" si="11"/>
        <v>0</v>
      </c>
      <c r="AV94" s="183">
        <f t="shared" si="14"/>
        <v>0</v>
      </c>
      <c r="AW94" s="117">
        <f t="shared" si="15"/>
        <v>0</v>
      </c>
      <c r="AX94" s="184">
        <f t="shared" si="9"/>
        <v>0</v>
      </c>
      <c r="AY94" s="117">
        <f t="shared" si="12"/>
        <v>0</v>
      </c>
      <c r="AZ94" s="117"/>
    </row>
    <row r="95" spans="44:52" s="14" customFormat="1" ht="14">
      <c r="AR95" s="117" t="str">
        <f t="shared" si="10"/>
        <v/>
      </c>
      <c r="AS95" s="183">
        <f t="shared" si="13"/>
        <v>0</v>
      </c>
      <c r="AT95" s="183"/>
      <c r="AU95" s="183">
        <f t="shared" si="11"/>
        <v>0</v>
      </c>
      <c r="AV95" s="183">
        <f t="shared" si="14"/>
        <v>0</v>
      </c>
      <c r="AW95" s="117">
        <f t="shared" si="15"/>
        <v>0</v>
      </c>
      <c r="AX95" s="184">
        <f t="shared" si="9"/>
        <v>0</v>
      </c>
      <c r="AY95" s="117">
        <f t="shared" si="12"/>
        <v>0</v>
      </c>
      <c r="AZ95" s="117"/>
    </row>
    <row r="96" spans="44:52" s="14" customFormat="1" ht="14">
      <c r="AR96" s="117" t="str">
        <f t="shared" si="10"/>
        <v/>
      </c>
      <c r="AS96" s="183">
        <f t="shared" si="13"/>
        <v>0</v>
      </c>
      <c r="AT96" s="183"/>
      <c r="AU96" s="183">
        <f t="shared" si="11"/>
        <v>0</v>
      </c>
      <c r="AV96" s="183">
        <f t="shared" si="14"/>
        <v>0</v>
      </c>
      <c r="AW96" s="117">
        <f t="shared" si="15"/>
        <v>0</v>
      </c>
      <c r="AX96" s="184">
        <f t="shared" si="9"/>
        <v>0</v>
      </c>
      <c r="AY96" s="117">
        <f t="shared" si="12"/>
        <v>0</v>
      </c>
      <c r="AZ96" s="117"/>
    </row>
    <row r="97" spans="44:52" s="14" customFormat="1" ht="14">
      <c r="AR97" s="117" t="str">
        <f t="shared" si="10"/>
        <v/>
      </c>
      <c r="AS97" s="183">
        <f t="shared" si="13"/>
        <v>0</v>
      </c>
      <c r="AT97" s="183"/>
      <c r="AU97" s="183">
        <f t="shared" si="11"/>
        <v>0</v>
      </c>
      <c r="AV97" s="183">
        <f t="shared" si="14"/>
        <v>0</v>
      </c>
      <c r="AW97" s="117">
        <f t="shared" si="15"/>
        <v>0</v>
      </c>
      <c r="AX97" s="184">
        <f t="shared" si="9"/>
        <v>0</v>
      </c>
      <c r="AY97" s="117">
        <f t="shared" si="12"/>
        <v>0</v>
      </c>
      <c r="AZ97" s="117"/>
    </row>
    <row r="98" spans="44:52" s="14" customFormat="1" ht="14">
      <c r="AR98" s="117" t="str">
        <f t="shared" si="10"/>
        <v/>
      </c>
      <c r="AS98" s="183">
        <f t="shared" si="13"/>
        <v>0</v>
      </c>
      <c r="AT98" s="183"/>
      <c r="AU98" s="183">
        <f t="shared" si="11"/>
        <v>0</v>
      </c>
      <c r="AV98" s="183">
        <f t="shared" si="14"/>
        <v>0</v>
      </c>
      <c r="AW98" s="117">
        <f t="shared" si="15"/>
        <v>0</v>
      </c>
      <c r="AX98" s="184">
        <f t="shared" si="9"/>
        <v>0</v>
      </c>
      <c r="AY98" s="117">
        <f t="shared" si="12"/>
        <v>0</v>
      </c>
      <c r="AZ98" s="117"/>
    </row>
    <row r="99" spans="44:52" s="14" customFormat="1" ht="14">
      <c r="AR99" s="117" t="str">
        <f t="shared" si="10"/>
        <v/>
      </c>
      <c r="AS99" s="183">
        <f t="shared" si="13"/>
        <v>0</v>
      </c>
      <c r="AT99" s="183"/>
      <c r="AU99" s="183">
        <f t="shared" si="11"/>
        <v>0</v>
      </c>
      <c r="AV99" s="183">
        <f t="shared" si="14"/>
        <v>0</v>
      </c>
      <c r="AW99" s="117">
        <f t="shared" si="15"/>
        <v>0</v>
      </c>
      <c r="AX99" s="184">
        <f t="shared" si="9"/>
        <v>0</v>
      </c>
      <c r="AY99" s="117">
        <f t="shared" si="12"/>
        <v>0</v>
      </c>
      <c r="AZ99" s="117"/>
    </row>
    <row r="100" spans="44:52" s="14" customFormat="1" ht="14">
      <c r="AR100" s="117" t="str">
        <f t="shared" si="10"/>
        <v/>
      </c>
      <c r="AS100" s="183">
        <f t="shared" si="13"/>
        <v>0</v>
      </c>
      <c r="AT100" s="183"/>
      <c r="AU100" s="183">
        <f t="shared" si="11"/>
        <v>0</v>
      </c>
      <c r="AV100" s="183">
        <f t="shared" si="14"/>
        <v>0</v>
      </c>
      <c r="AW100" s="117">
        <f t="shared" si="15"/>
        <v>0</v>
      </c>
      <c r="AX100" s="184">
        <f t="shared" si="9"/>
        <v>0</v>
      </c>
      <c r="AY100" s="117">
        <f t="shared" si="12"/>
        <v>0</v>
      </c>
      <c r="AZ100" s="117"/>
    </row>
    <row r="101" spans="44:52" s="14" customFormat="1" ht="14">
      <c r="AR101" s="117" t="str">
        <f t="shared" si="10"/>
        <v/>
      </c>
      <c r="AS101" s="183">
        <f t="shared" si="13"/>
        <v>0</v>
      </c>
      <c r="AT101" s="183"/>
      <c r="AU101" s="183">
        <f t="shared" si="11"/>
        <v>0</v>
      </c>
      <c r="AV101" s="183">
        <f t="shared" si="14"/>
        <v>0</v>
      </c>
      <c r="AW101" s="117">
        <f t="shared" si="15"/>
        <v>0</v>
      </c>
      <c r="AX101" s="184">
        <f t="shared" si="9"/>
        <v>0</v>
      </c>
      <c r="AY101" s="117">
        <f t="shared" si="12"/>
        <v>0</v>
      </c>
      <c r="AZ101" s="117"/>
    </row>
    <row r="102" spans="44:52" s="14" customFormat="1" ht="14">
      <c r="AR102" s="117" t="str">
        <f t="shared" si="10"/>
        <v/>
      </c>
      <c r="AS102" s="183">
        <f t="shared" si="13"/>
        <v>0</v>
      </c>
      <c r="AT102" s="183"/>
      <c r="AU102" s="183">
        <f t="shared" si="11"/>
        <v>0</v>
      </c>
      <c r="AV102" s="183">
        <f t="shared" si="14"/>
        <v>0</v>
      </c>
      <c r="AW102" s="117">
        <f t="shared" si="15"/>
        <v>0</v>
      </c>
      <c r="AX102" s="184">
        <f t="shared" ref="AX102:AX113" si="16">LN(AW102+$J$36)-LN($J$36)</f>
        <v>0</v>
      </c>
      <c r="AY102" s="117">
        <f t="shared" si="12"/>
        <v>0</v>
      </c>
      <c r="AZ102" s="117"/>
    </row>
    <row r="103" spans="44:52" s="14" customFormat="1" ht="14">
      <c r="AR103" s="117" t="str">
        <f t="shared" si="10"/>
        <v/>
      </c>
      <c r="AS103" s="183">
        <f t="shared" si="13"/>
        <v>0</v>
      </c>
      <c r="AT103" s="183"/>
      <c r="AU103" s="183">
        <f t="shared" si="11"/>
        <v>0</v>
      </c>
      <c r="AV103" s="183">
        <f t="shared" si="14"/>
        <v>0</v>
      </c>
      <c r="AW103" s="117">
        <f t="shared" si="15"/>
        <v>0</v>
      </c>
      <c r="AX103" s="184">
        <f t="shared" si="16"/>
        <v>0</v>
      </c>
      <c r="AY103" s="117">
        <f t="shared" si="12"/>
        <v>0</v>
      </c>
      <c r="AZ103" s="117"/>
    </row>
    <row r="104" spans="44:52" s="14" customFormat="1" ht="14">
      <c r="AR104" s="117" t="str">
        <f t="shared" si="10"/>
        <v/>
      </c>
      <c r="AS104" s="183">
        <f t="shared" si="13"/>
        <v>0</v>
      </c>
      <c r="AT104" s="183"/>
      <c r="AU104" s="183">
        <f t="shared" si="11"/>
        <v>0</v>
      </c>
      <c r="AV104" s="183">
        <f t="shared" si="14"/>
        <v>0</v>
      </c>
      <c r="AW104" s="117">
        <f t="shared" si="15"/>
        <v>0</v>
      </c>
      <c r="AX104" s="184">
        <f t="shared" si="16"/>
        <v>0</v>
      </c>
      <c r="AY104" s="117">
        <f t="shared" si="12"/>
        <v>0</v>
      </c>
      <c r="AZ104" s="117"/>
    </row>
    <row r="105" spans="44:52" s="14" customFormat="1" ht="14">
      <c r="AR105" s="117" t="str">
        <f t="shared" si="10"/>
        <v/>
      </c>
      <c r="AS105" s="183">
        <f t="shared" si="13"/>
        <v>0</v>
      </c>
      <c r="AT105" s="183"/>
      <c r="AU105" s="183">
        <f t="shared" si="11"/>
        <v>0</v>
      </c>
      <c r="AV105" s="183">
        <f t="shared" si="14"/>
        <v>0</v>
      </c>
      <c r="AW105" s="117">
        <f t="shared" si="15"/>
        <v>0</v>
      </c>
      <c r="AX105" s="184">
        <f t="shared" si="16"/>
        <v>0</v>
      </c>
      <c r="AY105" s="117">
        <f t="shared" si="12"/>
        <v>0</v>
      </c>
      <c r="AZ105" s="117"/>
    </row>
    <row r="106" spans="44:52" s="14" customFormat="1" ht="14">
      <c r="AR106" s="117" t="str">
        <f t="shared" si="10"/>
        <v/>
      </c>
      <c r="AS106" s="183">
        <f t="shared" si="13"/>
        <v>0</v>
      </c>
      <c r="AT106" s="183"/>
      <c r="AU106" s="183">
        <f t="shared" si="11"/>
        <v>0</v>
      </c>
      <c r="AV106" s="183">
        <f t="shared" si="14"/>
        <v>0</v>
      </c>
      <c r="AW106" s="117">
        <f t="shared" si="15"/>
        <v>0</v>
      </c>
      <c r="AX106" s="184">
        <f t="shared" si="16"/>
        <v>0</v>
      </c>
      <c r="AY106" s="117">
        <f t="shared" si="12"/>
        <v>0</v>
      </c>
      <c r="AZ106" s="117"/>
    </row>
    <row r="107" spans="44:52" s="14" customFormat="1" ht="14">
      <c r="AR107" s="117" t="str">
        <f t="shared" si="10"/>
        <v/>
      </c>
      <c r="AS107" s="183">
        <f t="shared" si="13"/>
        <v>0</v>
      </c>
      <c r="AT107" s="183"/>
      <c r="AU107" s="183">
        <f t="shared" si="11"/>
        <v>0</v>
      </c>
      <c r="AV107" s="183">
        <f t="shared" si="14"/>
        <v>0</v>
      </c>
      <c r="AW107" s="117">
        <f t="shared" si="15"/>
        <v>0</v>
      </c>
      <c r="AX107" s="184">
        <f t="shared" si="16"/>
        <v>0</v>
      </c>
      <c r="AY107" s="117">
        <f t="shared" si="12"/>
        <v>0</v>
      </c>
      <c r="AZ107" s="117"/>
    </row>
    <row r="108" spans="44:52" s="14" customFormat="1" ht="14">
      <c r="AR108" s="117" t="str">
        <f t="shared" si="10"/>
        <v/>
      </c>
      <c r="AS108" s="183">
        <f t="shared" si="13"/>
        <v>0</v>
      </c>
      <c r="AT108" s="183"/>
      <c r="AU108" s="183">
        <f t="shared" si="11"/>
        <v>0</v>
      </c>
      <c r="AV108" s="183">
        <f t="shared" si="14"/>
        <v>0</v>
      </c>
      <c r="AW108" s="117">
        <f t="shared" si="15"/>
        <v>0</v>
      </c>
      <c r="AX108" s="184">
        <f t="shared" si="16"/>
        <v>0</v>
      </c>
      <c r="AY108" s="117">
        <f t="shared" si="12"/>
        <v>0</v>
      </c>
      <c r="AZ108" s="117"/>
    </row>
    <row r="109" spans="44:52" s="14" customFormat="1" ht="14">
      <c r="AR109" s="117" t="str">
        <f t="shared" si="10"/>
        <v/>
      </c>
      <c r="AS109" s="183">
        <f t="shared" si="13"/>
        <v>0</v>
      </c>
      <c r="AT109" s="183"/>
      <c r="AU109" s="183">
        <f t="shared" si="11"/>
        <v>0</v>
      </c>
      <c r="AV109" s="183">
        <f t="shared" si="14"/>
        <v>0</v>
      </c>
      <c r="AW109" s="117">
        <f t="shared" si="15"/>
        <v>0</v>
      </c>
      <c r="AX109" s="184">
        <f t="shared" si="16"/>
        <v>0</v>
      </c>
      <c r="AY109" s="117">
        <f t="shared" si="12"/>
        <v>0</v>
      </c>
      <c r="AZ109" s="117"/>
    </row>
    <row r="110" spans="44:52" s="14" customFormat="1" ht="14">
      <c r="AR110" s="117" t="str">
        <f t="shared" si="10"/>
        <v/>
      </c>
      <c r="AS110" s="183">
        <f t="shared" si="13"/>
        <v>0</v>
      </c>
      <c r="AT110" s="183"/>
      <c r="AU110" s="183">
        <f t="shared" si="11"/>
        <v>0</v>
      </c>
      <c r="AV110" s="183">
        <f t="shared" si="14"/>
        <v>0</v>
      </c>
      <c r="AW110" s="117">
        <f t="shared" si="15"/>
        <v>0</v>
      </c>
      <c r="AX110" s="184">
        <f t="shared" si="16"/>
        <v>0</v>
      </c>
      <c r="AY110" s="117">
        <f t="shared" si="12"/>
        <v>0</v>
      </c>
      <c r="AZ110" s="117"/>
    </row>
    <row r="111" spans="44:52" s="14" customFormat="1" ht="14">
      <c r="AR111" s="117" t="str">
        <f t="shared" si="10"/>
        <v/>
      </c>
      <c r="AS111" s="183">
        <f t="shared" si="13"/>
        <v>0</v>
      </c>
      <c r="AT111" s="183"/>
      <c r="AU111" s="183">
        <f t="shared" si="11"/>
        <v>0</v>
      </c>
      <c r="AV111" s="183">
        <f t="shared" si="14"/>
        <v>0</v>
      </c>
      <c r="AW111" s="117">
        <f t="shared" si="15"/>
        <v>0</v>
      </c>
      <c r="AX111" s="184">
        <f t="shared" si="16"/>
        <v>0</v>
      </c>
      <c r="AY111" s="117">
        <f t="shared" si="12"/>
        <v>0</v>
      </c>
      <c r="AZ111" s="117"/>
    </row>
    <row r="112" spans="44:52" s="14" customFormat="1" ht="14">
      <c r="AR112" s="117" t="str">
        <f t="shared" si="10"/>
        <v/>
      </c>
      <c r="AS112" s="183">
        <f t="shared" si="13"/>
        <v>0</v>
      </c>
      <c r="AT112" s="183"/>
      <c r="AU112" s="183">
        <f t="shared" si="11"/>
        <v>0</v>
      </c>
      <c r="AV112" s="183">
        <f t="shared" si="14"/>
        <v>0</v>
      </c>
      <c r="AW112" s="117">
        <f t="shared" si="15"/>
        <v>0</v>
      </c>
      <c r="AX112" s="184">
        <f t="shared" si="16"/>
        <v>0</v>
      </c>
      <c r="AY112" s="117">
        <f t="shared" si="12"/>
        <v>0</v>
      </c>
      <c r="AZ112" s="117"/>
    </row>
    <row r="113" spans="44:52" s="14" customFormat="1" ht="14">
      <c r="AR113" s="117" t="str">
        <f t="shared" si="10"/>
        <v/>
      </c>
      <c r="AS113" s="183">
        <f t="shared" si="13"/>
        <v>0</v>
      </c>
      <c r="AT113" s="183"/>
      <c r="AU113" s="183">
        <f t="shared" si="11"/>
        <v>0</v>
      </c>
      <c r="AV113" s="183">
        <f t="shared" si="14"/>
        <v>0</v>
      </c>
      <c r="AW113" s="117">
        <f t="shared" si="15"/>
        <v>0</v>
      </c>
      <c r="AX113" s="184">
        <f t="shared" si="16"/>
        <v>0</v>
      </c>
      <c r="AY113" s="117">
        <f t="shared" si="12"/>
        <v>0</v>
      </c>
      <c r="AZ113" s="117"/>
    </row>
    <row r="114" spans="44:52" s="14" customFormat="1" ht="14">
      <c r="AZ114" s="117"/>
    </row>
    <row r="115" spans="44:52" s="14" customFormat="1" ht="14">
      <c r="AZ115" s="117"/>
    </row>
    <row r="116" spans="44:52" s="14" customFormat="1" ht="14">
      <c r="AZ116" s="117"/>
    </row>
    <row r="117" spans="44:52" s="14" customFormat="1" ht="14">
      <c r="AZ117" s="117"/>
    </row>
    <row r="118" spans="44:52" ht="14">
      <c r="AZ118"/>
    </row>
  </sheetData>
  <mergeCells count="59">
    <mergeCell ref="R37:T37"/>
    <mergeCell ref="S16:T16"/>
    <mergeCell ref="F31:F33"/>
    <mergeCell ref="R31:V31"/>
    <mergeCell ref="Q25:Q28"/>
    <mergeCell ref="R29:V29"/>
    <mergeCell ref="R30:V30"/>
    <mergeCell ref="U21:W22"/>
    <mergeCell ref="R21:S22"/>
    <mergeCell ref="F21:F24"/>
    <mergeCell ref="O36:P36"/>
    <mergeCell ref="O35:P35"/>
    <mergeCell ref="B23:E26"/>
    <mergeCell ref="F16:F17"/>
    <mergeCell ref="G16:G17"/>
    <mergeCell ref="B14:B18"/>
    <mergeCell ref="C14:C15"/>
    <mergeCell ref="D14:D15"/>
    <mergeCell ref="D16:D17"/>
    <mergeCell ref="C16:C17"/>
    <mergeCell ref="F14:F15"/>
    <mergeCell ref="G14:G15"/>
    <mergeCell ref="B35:B37"/>
    <mergeCell ref="D35:F35"/>
    <mergeCell ref="D36:F36"/>
    <mergeCell ref="H36:I36"/>
    <mergeCell ref="J36:N36"/>
    <mergeCell ref="H35:I35"/>
    <mergeCell ref="J35:N35"/>
    <mergeCell ref="D37:G37"/>
    <mergeCell ref="H37:Q37"/>
    <mergeCell ref="V6:W6"/>
    <mergeCell ref="Q13:Q16"/>
    <mergeCell ref="T18:U18"/>
    <mergeCell ref="T19:U19"/>
    <mergeCell ref="Q18:Q19"/>
    <mergeCell ref="T8:U8"/>
    <mergeCell ref="T9:U9"/>
    <mergeCell ref="T13:U13"/>
    <mergeCell ref="V19:W19"/>
    <mergeCell ref="V18:W18"/>
    <mergeCell ref="T14:U14"/>
    <mergeCell ref="T15:U15"/>
    <mergeCell ref="V4:W4"/>
    <mergeCell ref="T5:U5"/>
    <mergeCell ref="V5:W5"/>
    <mergeCell ref="S2:T3"/>
    <mergeCell ref="B7:B11"/>
    <mergeCell ref="C9:D9"/>
    <mergeCell ref="T10:U10"/>
    <mergeCell ref="Q8:Q11"/>
    <mergeCell ref="T11:U11"/>
    <mergeCell ref="T4:U4"/>
    <mergeCell ref="C6:D6"/>
    <mergeCell ref="T6:U6"/>
    <mergeCell ref="L6:M6"/>
    <mergeCell ref="I6:J6"/>
    <mergeCell ref="F4:G5"/>
    <mergeCell ref="B4:D5"/>
  </mergeCell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38">
        <x14:dataValidation type="list" allowBlank="1" showInputMessage="1">
          <x14:formula1>
            <xm:f>Parameters!$C$14:$G$14</xm:f>
          </x14:formula1>
          <xm:sqref>G10</xm:sqref>
        </x14:dataValidation>
        <x14:dataValidation type="list" allowBlank="1" showInputMessage="1">
          <x14:formula1>
            <xm:f>Parameters!$C$13:$G$13</xm:f>
          </x14:formula1>
          <xm:sqref>G8</xm:sqref>
        </x14:dataValidation>
        <x14:dataValidation type="list" allowBlank="1" showInputMessage="1">
          <x14:formula1>
            <xm:f>Parameters!$C$36:$G$36</xm:f>
          </x14:formula1>
          <xm:sqref>G18</xm:sqref>
        </x14:dataValidation>
        <x14:dataValidation type="list" allowBlank="1" showInputMessage="1">
          <x14:formula1>
            <xm:f>Parameters!$C$34:$G$34</xm:f>
          </x14:formula1>
          <xm:sqref>G16</xm:sqref>
        </x14:dataValidation>
        <x14:dataValidation type="list" allowBlank="1" showInputMessage="1">
          <x14:formula1>
            <xm:f>Parameters!$C$37:$G$37</xm:f>
          </x14:formula1>
          <xm:sqref>G14</xm:sqref>
        </x14:dataValidation>
        <x14:dataValidation type="list" allowBlank="1" showInputMessage="1">
          <x14:formula1>
            <xm:f>Parameters!$C$38:$G$38</xm:f>
          </x14:formula1>
          <xm:sqref>G11</xm:sqref>
        </x14:dataValidation>
        <x14:dataValidation type="list" allowBlank="1" showInputMessage="1">
          <x14:formula1>
            <xm:f>Parameters!$C$12:$G$12</xm:f>
          </x14:formula1>
          <xm:sqref>G9</xm:sqref>
        </x14:dataValidation>
        <x14:dataValidation type="list" allowBlank="1" showInputMessage="1">
          <x14:formula1>
            <xm:f>Parameters!$C$11:$G$11</xm:f>
          </x14:formula1>
          <xm:sqref>G7</xm:sqref>
        </x14:dataValidation>
        <x14:dataValidation type="list" allowBlank="1" showInputMessage="1">
          <x14:formula1>
            <xm:f>Parameters!$C$6:$G$6</xm:f>
          </x14:formula1>
          <xm:sqref>D14</xm:sqref>
        </x14:dataValidation>
        <x14:dataValidation type="list" allowBlank="1" showInputMessage="1">
          <x14:formula1>
            <xm:f>Parameters!$C$5:$G$5</xm:f>
          </x14:formula1>
          <xm:sqref>D11</xm:sqref>
        </x14:dataValidation>
        <x14:dataValidation type="list" allowBlank="1" showInputMessage="1">
          <x14:formula1>
            <xm:f>Parameters!$C$4:$G$4</xm:f>
          </x14:formula1>
          <xm:sqref>D10</xm:sqref>
        </x14:dataValidation>
        <x14:dataValidation type="list" allowBlank="1" showInputMessage="1">
          <x14:formula1>
            <xm:f>Parameters!$C$10:$G$10</xm:f>
          </x14:formula1>
          <xm:sqref>D7</xm:sqref>
        </x14:dataValidation>
        <x14:dataValidation type="list" allowBlank="1" showInputMessage="1">
          <x14:formula1>
            <xm:f>Parameters!$C$17:$G$17</xm:f>
          </x14:formula1>
          <xm:sqref>J17:K17</xm:sqref>
        </x14:dataValidation>
        <x14:dataValidation type="list" allowBlank="1" showInputMessage="1">
          <x14:formula1>
            <xm:f>Parameters!$C$20:$G$20</xm:f>
          </x14:formula1>
          <xm:sqref>J18:K18</xm:sqref>
        </x14:dataValidation>
        <x14:dataValidation type="list" allowBlank="1" showInputMessage="1">
          <x14:formula1>
            <xm:f>Parameters!$C$24:$G$24</xm:f>
          </x14:formula1>
          <xm:sqref>J16:K16</xm:sqref>
        </x14:dataValidation>
        <x14:dataValidation type="list" allowBlank="1" showInputMessage="1">
          <x14:formula1>
            <xm:f>Parameters!$C$27:$G$27</xm:f>
          </x14:formula1>
          <xm:sqref>K9</xm:sqref>
        </x14:dataValidation>
        <x14:dataValidation type="list" allowBlank="1" showInputMessage="1">
          <x14:formula1>
            <xm:f>Parameters!$C$18:$G$18</xm:f>
          </x14:formula1>
          <xm:sqref>K14</xm:sqref>
        </x14:dataValidation>
        <x14:dataValidation type="list" allowBlank="1" showInputMessage="1">
          <x14:formula1>
            <xm:f>Parameters!$C$25:$G$25</xm:f>
          </x14:formula1>
          <xm:sqref>K15</xm:sqref>
        </x14:dataValidation>
        <x14:dataValidation type="list" allowBlank="1" showInputMessage="1">
          <x14:formula1>
            <xm:f>Parameters!$C$21:$G$21</xm:f>
          </x14:formula1>
          <xm:sqref>J10</xm:sqref>
        </x14:dataValidation>
        <x14:dataValidation type="list" allowBlank="1" showInputMessage="1">
          <x14:formula1>
            <xm:f>Parameters!$D$26:$F$26</xm:f>
          </x14:formula1>
          <xm:sqref>K7</xm:sqref>
        </x14:dataValidation>
        <x14:dataValidation type="list" allowBlank="1" showInputMessage="1">
          <x14:formula1>
            <xm:f>Parameters!$C$26:$G$26</xm:f>
          </x14:formula1>
          <xm:sqref>J7</xm:sqref>
        </x14:dataValidation>
        <x14:dataValidation type="list" allowBlank="1" showInputMessage="1">
          <x14:formula1>
            <xm:f>Parameters!$D$19:$H$19</xm:f>
          </x14:formula1>
          <xm:sqref>K10</xm:sqref>
        </x14:dataValidation>
        <x14:dataValidation type="list" allowBlank="1" showInputMessage="1">
          <x14:formula1>
            <xm:f>Parameters!$C$19:$G$19</xm:f>
          </x14:formula1>
          <xm:sqref>J8</xm:sqref>
        </x14:dataValidation>
        <x14:dataValidation type="list" allowBlank="1" showInputMessage="1">
          <x14:formula1>
            <xm:f>Parameters!$C$47:$G$47</xm:f>
          </x14:formula1>
          <xm:sqref>M7</xm:sqref>
        </x14:dataValidation>
        <x14:dataValidation type="list" allowBlank="1" showInputMessage="1">
          <x14:formula1>
            <xm:f>Parameters!$C$48:$G$48</xm:f>
          </x14:formula1>
          <xm:sqref>M8</xm:sqref>
        </x14:dataValidation>
        <x14:dataValidation type="list" allowBlank="1" showInputMessage="1">
          <x14:formula1>
            <xm:f>Parameters!$C$49:$G$49</xm:f>
          </x14:formula1>
          <xm:sqref>M9</xm:sqref>
        </x14:dataValidation>
        <x14:dataValidation type="list" allowBlank="1" showInputMessage="1">
          <x14:formula1>
            <xm:f>Parameters!$C$50:$G$50</xm:f>
          </x14:formula1>
          <xm:sqref>M10</xm:sqref>
        </x14:dataValidation>
        <x14:dataValidation type="list" allowBlank="1" showInputMessage="1">
          <x14:formula1>
            <xm:f>Parameters!$C$51:$G$51</xm:f>
          </x14:formula1>
          <xm:sqref>M11</xm:sqref>
        </x14:dataValidation>
        <x14:dataValidation type="list" allowBlank="1" showInputMessage="1">
          <x14:formula1>
            <xm:f>Parameters!$C$52:$G$52</xm:f>
          </x14:formula1>
          <xm:sqref>M12</xm:sqref>
        </x14:dataValidation>
        <x14:dataValidation type="list" allowBlank="1" showInputMessage="1">
          <x14:formula1>
            <xm:f>Parameters!$C$53:$G$53</xm:f>
          </x14:formula1>
          <xm:sqref>M13</xm:sqref>
        </x14:dataValidation>
        <x14:dataValidation type="list" allowBlank="1" showInputMessage="1">
          <x14:formula1>
            <xm:f>Parameters!$C$54:$G$54</xm:f>
          </x14:formula1>
          <xm:sqref>M14</xm:sqref>
        </x14:dataValidation>
        <x14:dataValidation type="list" allowBlank="1" showInputMessage="1">
          <x14:formula1>
            <xm:f>Parameters!$C$55:$G$55</xm:f>
          </x14:formula1>
          <xm:sqref>M15</xm:sqref>
        </x14:dataValidation>
        <x14:dataValidation type="list" allowBlank="1" showInputMessage="1">
          <x14:formula1>
            <xm:f>Parameters!$C$28:$G$28</xm:f>
          </x14:formula1>
          <xm:sqref>J9</xm:sqref>
        </x14:dataValidation>
        <x14:dataValidation type="list" allowBlank="1" showInputMessage="1">
          <x14:formula1>
            <xm:f>Parameters!$C$27:$G$27</xm:f>
          </x14:formula1>
          <xm:sqref>J11</xm:sqref>
        </x14:dataValidation>
        <x14:dataValidation type="list" allowBlank="1" showInputMessage="1">
          <x14:formula1>
            <xm:f>Parameters!$C$18:$G$18</xm:f>
          </x14:formula1>
          <xm:sqref>J15</xm:sqref>
        </x14:dataValidation>
        <x14:dataValidation type="list" allowBlank="1" showInputMessage="1">
          <x14:formula1>
            <xm:f>Parameters!$C$25:$G$25</xm:f>
          </x14:formula1>
          <xm:sqref>J14</xm:sqref>
        </x14:dataValidation>
        <x14:dataValidation type="list" allowBlank="1" showInputMessage="1">
          <x14:formula1>
            <xm:f>Parameters!$C$7:$G$7</xm:f>
          </x14:formula1>
          <xm:sqref>D16:D17</xm:sqref>
        </x14:dataValidation>
        <x14:dataValidation type="list" allowBlank="1" showInputMessage="1" showErrorMessage="1">
          <x14:formula1>
            <xm:f>Parameters!$C$29:$G$29</xm:f>
          </x14:formula1>
          <xm:sqref>J12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workbookViewId="0">
      <pane ySplit="2" topLeftCell="A3" activePane="bottomLeft" state="frozen"/>
      <selection pane="bottomLeft"/>
    </sheetView>
  </sheetViews>
  <sheetFormatPr baseColWidth="10" defaultColWidth="11.5" defaultRowHeight="14" x14ac:dyDescent="0"/>
  <cols>
    <col min="1" max="1" width="38.33203125" style="58" bestFit="1" customWidth="1"/>
    <col min="2" max="2" width="27.1640625" style="75" hidden="1" customWidth="1"/>
    <col min="3" max="3" width="13.1640625" style="59" customWidth="1"/>
    <col min="4" max="4" width="13.83203125" style="59" customWidth="1"/>
    <col min="5" max="5" width="12.5" style="59" bestFit="1" customWidth="1"/>
    <col min="6" max="6" width="16.83203125" style="59" customWidth="1"/>
    <col min="7" max="12" width="11.5" style="59"/>
    <col min="13" max="13" width="12.83203125" style="59" bestFit="1" customWidth="1"/>
    <col min="14" max="16384" width="11.5" style="59"/>
  </cols>
  <sheetData>
    <row r="1" spans="1:13">
      <c r="B1" s="74" t="s">
        <v>49</v>
      </c>
      <c r="C1" s="389" t="s">
        <v>247</v>
      </c>
      <c r="D1" s="389"/>
      <c r="E1" s="389"/>
      <c r="F1" s="389"/>
      <c r="G1" s="389"/>
      <c r="H1" s="390" t="s">
        <v>99</v>
      </c>
      <c r="I1" s="390"/>
      <c r="J1" s="390"/>
      <c r="K1" s="390"/>
      <c r="L1" s="390"/>
      <c r="M1" s="110" t="s">
        <v>193</v>
      </c>
    </row>
    <row r="2" spans="1:13">
      <c r="B2" s="88"/>
      <c r="C2" s="56">
        <v>1</v>
      </c>
      <c r="D2" s="56">
        <v>2</v>
      </c>
      <c r="E2" s="56">
        <v>3</v>
      </c>
      <c r="F2" s="56">
        <v>4</v>
      </c>
      <c r="G2" s="56">
        <v>5</v>
      </c>
      <c r="H2" s="56">
        <v>1</v>
      </c>
      <c r="I2" s="56">
        <v>2</v>
      </c>
      <c r="J2" s="56">
        <v>3</v>
      </c>
      <c r="K2" s="56">
        <v>4</v>
      </c>
      <c r="L2" s="56">
        <v>5</v>
      </c>
    </row>
    <row r="3" spans="1:13">
      <c r="A3" s="60" t="s">
        <v>50</v>
      </c>
    </row>
    <row r="4" spans="1:13">
      <c r="A4" s="58" t="s">
        <v>51</v>
      </c>
      <c r="B4" s="73"/>
      <c r="C4" s="61">
        <v>0.1</v>
      </c>
      <c r="D4" s="61">
        <v>0</v>
      </c>
      <c r="E4" s="61">
        <v>0.15</v>
      </c>
      <c r="F4" s="61">
        <v>0.2</v>
      </c>
      <c r="G4" s="61">
        <f>AVERAGE(C95:D95)</f>
        <v>0.45670833333333333</v>
      </c>
      <c r="H4" s="62" t="s">
        <v>299</v>
      </c>
      <c r="I4" s="62" t="s">
        <v>147</v>
      </c>
      <c r="J4" s="62" t="s">
        <v>300</v>
      </c>
      <c r="K4" s="62" t="s">
        <v>148</v>
      </c>
      <c r="L4" s="62" t="s">
        <v>169</v>
      </c>
      <c r="M4" s="55" t="s">
        <v>194</v>
      </c>
    </row>
    <row r="5" spans="1:13">
      <c r="A5" s="58" t="s">
        <v>96</v>
      </c>
      <c r="B5" s="73"/>
      <c r="C5" s="61">
        <v>0.5</v>
      </c>
      <c r="D5" s="61">
        <v>0.25</v>
      </c>
      <c r="E5" s="61">
        <v>0.75</v>
      </c>
      <c r="F5" s="62"/>
      <c r="G5" s="62"/>
      <c r="H5" s="59" t="s">
        <v>298</v>
      </c>
      <c r="I5" s="59" t="s">
        <v>166</v>
      </c>
      <c r="J5" s="59" t="s">
        <v>167</v>
      </c>
    </row>
    <row r="6" spans="1:13">
      <c r="A6" s="58" t="s">
        <v>65</v>
      </c>
      <c r="B6" s="73"/>
      <c r="C6" s="66">
        <v>15</v>
      </c>
      <c r="D6" s="59">
        <v>40</v>
      </c>
      <c r="E6" s="66">
        <v>5</v>
      </c>
      <c r="F6" s="66"/>
      <c r="G6" s="66"/>
      <c r="H6" s="62" t="s">
        <v>313</v>
      </c>
      <c r="I6" s="59" t="s">
        <v>123</v>
      </c>
      <c r="J6" s="59" t="s">
        <v>124</v>
      </c>
    </row>
    <row r="7" spans="1:13">
      <c r="A7" s="58" t="s">
        <v>19</v>
      </c>
      <c r="B7" s="73"/>
      <c r="C7" s="215">
        <v>0.80400000000000005</v>
      </c>
      <c r="D7" s="216">
        <v>0.86699999999999999</v>
      </c>
      <c r="E7" s="66"/>
      <c r="F7" s="66"/>
      <c r="G7" s="66"/>
      <c r="H7" s="62" t="s">
        <v>287</v>
      </c>
      <c r="I7" s="59" t="s">
        <v>297</v>
      </c>
      <c r="M7" s="59" t="s">
        <v>286</v>
      </c>
    </row>
    <row r="8" spans="1:13">
      <c r="B8" s="73"/>
      <c r="C8" s="61"/>
      <c r="D8" s="61"/>
      <c r="E8" s="61"/>
      <c r="F8" s="62"/>
      <c r="G8" s="62"/>
    </row>
    <row r="9" spans="1:13">
      <c r="A9" s="60" t="s">
        <v>52</v>
      </c>
      <c r="B9" s="88"/>
      <c r="C9" s="61"/>
      <c r="D9" s="61"/>
      <c r="E9" s="61"/>
      <c r="F9" s="62"/>
      <c r="G9" s="62"/>
    </row>
    <row r="10" spans="1:13">
      <c r="A10" s="63" t="s">
        <v>53</v>
      </c>
      <c r="B10" s="89"/>
      <c r="C10" s="61">
        <v>0.05</v>
      </c>
      <c r="D10" s="61">
        <v>0.03</v>
      </c>
      <c r="E10" s="61">
        <v>9.8500000000000004E-2</v>
      </c>
      <c r="F10" s="61"/>
      <c r="G10" s="62"/>
      <c r="H10" s="62" t="s">
        <v>143</v>
      </c>
      <c r="I10" s="59" t="s">
        <v>54</v>
      </c>
      <c r="J10" s="59" t="s">
        <v>55</v>
      </c>
    </row>
    <row r="11" spans="1:13" ht="41.5" customHeight="1">
      <c r="A11" s="81" t="s">
        <v>56</v>
      </c>
      <c r="B11" s="72" t="s">
        <v>144</v>
      </c>
      <c r="C11" s="61">
        <f>(0.37/(1-0.37))/(0.66/(1-0.66))</f>
        <v>0.30254930254930251</v>
      </c>
      <c r="D11" s="61">
        <v>1</v>
      </c>
      <c r="E11" s="61">
        <f>0.07/(1-0.07)/(0.4/(1-0.4))</f>
        <v>0.11290322580645162</v>
      </c>
      <c r="F11" s="61">
        <f>0.37/0.66</f>
        <v>0.56060606060606055</v>
      </c>
      <c r="G11" s="62"/>
      <c r="H11" s="90" t="s">
        <v>318</v>
      </c>
      <c r="I11" s="59" t="s">
        <v>100</v>
      </c>
      <c r="J11" s="90" t="s">
        <v>145</v>
      </c>
      <c r="K11" s="59" t="s">
        <v>276</v>
      </c>
      <c r="M11" s="59" t="s">
        <v>195</v>
      </c>
    </row>
    <row r="12" spans="1:13" ht="42">
      <c r="A12" s="57" t="s">
        <v>58</v>
      </c>
      <c r="B12" s="72"/>
      <c r="C12" s="61">
        <v>1</v>
      </c>
      <c r="D12" s="61">
        <f>C32/10</f>
        <v>0.24100000000000002</v>
      </c>
      <c r="E12" s="61"/>
      <c r="F12" s="62"/>
      <c r="G12" s="62"/>
      <c r="H12" s="64" t="s">
        <v>102</v>
      </c>
      <c r="I12" s="59" t="s">
        <v>101</v>
      </c>
    </row>
    <row r="13" spans="1:13" ht="28">
      <c r="A13" s="57" t="s">
        <v>152</v>
      </c>
      <c r="B13" s="72" t="s">
        <v>165</v>
      </c>
      <c r="C13" s="61">
        <v>0.5</v>
      </c>
      <c r="D13" s="61">
        <v>0.23</v>
      </c>
      <c r="E13" s="61">
        <v>0.85</v>
      </c>
      <c r="F13" s="158">
        <v>0.6</v>
      </c>
      <c r="G13" s="61"/>
      <c r="H13" s="59" t="s">
        <v>149</v>
      </c>
      <c r="I13" s="90" t="s">
        <v>153</v>
      </c>
      <c r="J13" s="90" t="s">
        <v>154</v>
      </c>
      <c r="K13" s="59" t="s">
        <v>277</v>
      </c>
    </row>
    <row r="14" spans="1:13" ht="28">
      <c r="A14" s="57" t="s">
        <v>176</v>
      </c>
      <c r="B14" s="72"/>
      <c r="C14" s="61">
        <v>2.4E-2</v>
      </c>
      <c r="D14" s="61"/>
      <c r="E14" s="61"/>
      <c r="G14" s="61"/>
      <c r="H14" s="59" t="s">
        <v>180</v>
      </c>
      <c r="K14" s="90"/>
    </row>
    <row r="15" spans="1:13">
      <c r="A15" s="57"/>
      <c r="B15" s="72"/>
      <c r="C15" s="61"/>
      <c r="D15" s="61"/>
      <c r="E15" s="61"/>
      <c r="F15" s="61"/>
      <c r="G15" s="61"/>
      <c r="J15" s="90"/>
      <c r="K15" s="90"/>
    </row>
    <row r="16" spans="1:13">
      <c r="A16" s="65" t="s">
        <v>59</v>
      </c>
      <c r="B16" s="91"/>
      <c r="D16" s="61"/>
      <c r="E16" s="61"/>
      <c r="F16" s="61"/>
      <c r="G16" s="61"/>
      <c r="J16" s="92"/>
      <c r="K16" s="90"/>
    </row>
    <row r="17" spans="1:13">
      <c r="A17" s="57" t="s">
        <v>60</v>
      </c>
      <c r="B17" s="72"/>
      <c r="C17" s="62">
        <v>1.23</v>
      </c>
      <c r="D17" s="62">
        <v>0.82</v>
      </c>
      <c r="E17" s="66">
        <v>1.37</v>
      </c>
      <c r="F17" s="62"/>
      <c r="G17" s="62"/>
      <c r="H17" s="59" t="s">
        <v>248</v>
      </c>
      <c r="I17" s="59" t="s">
        <v>249</v>
      </c>
      <c r="J17" s="59" t="s">
        <v>317</v>
      </c>
      <c r="K17" s="151"/>
      <c r="L17" s="151" t="s">
        <v>196</v>
      </c>
      <c r="M17" s="55" t="s">
        <v>320</v>
      </c>
    </row>
    <row r="18" spans="1:13">
      <c r="A18" s="57" t="s">
        <v>61</v>
      </c>
      <c r="B18" s="72"/>
      <c r="C18" s="61">
        <v>0.9</v>
      </c>
      <c r="D18" s="61"/>
      <c r="E18" s="61"/>
      <c r="F18" s="62"/>
      <c r="G18" s="62"/>
      <c r="H18" s="59" t="s">
        <v>329</v>
      </c>
      <c r="K18" s="90"/>
    </row>
    <row r="19" spans="1:13">
      <c r="A19" s="57" t="s">
        <v>62</v>
      </c>
      <c r="B19" s="72"/>
      <c r="C19" s="61">
        <f>AVERAGE(D19:G19)</f>
        <v>0.28968942705046552</v>
      </c>
      <c r="D19" s="80">
        <v>0.28143468086072898</v>
      </c>
      <c r="E19" s="80">
        <v>0.50274453282017195</v>
      </c>
      <c r="F19" s="80">
        <v>0.13916396200242659</v>
      </c>
      <c r="G19" s="80">
        <v>0.2354145325185345</v>
      </c>
      <c r="H19" s="59" t="s">
        <v>322</v>
      </c>
      <c r="I19" s="59" t="s">
        <v>283</v>
      </c>
      <c r="J19" s="59" t="s">
        <v>284</v>
      </c>
      <c r="K19" s="59" t="s">
        <v>285</v>
      </c>
      <c r="L19" s="59" t="s">
        <v>311</v>
      </c>
      <c r="M19" s="55" t="s">
        <v>258</v>
      </c>
    </row>
    <row r="20" spans="1:13" ht="27.5" customHeight="1">
      <c r="A20" s="57" t="s">
        <v>131</v>
      </c>
      <c r="B20" s="72" t="s">
        <v>132</v>
      </c>
      <c r="C20" s="61">
        <v>1</v>
      </c>
      <c r="D20" s="61"/>
      <c r="E20" s="61"/>
      <c r="F20" s="62"/>
      <c r="G20" s="62"/>
      <c r="K20" s="90"/>
    </row>
    <row r="21" spans="1:13" ht="27.5" customHeight="1">
      <c r="A21" s="57" t="s">
        <v>206</v>
      </c>
      <c r="B21" s="72"/>
      <c r="C21" s="61">
        <v>1</v>
      </c>
      <c r="D21" s="61">
        <f>1/(1-(0.29*0.6))</f>
        <v>1.2106537530266344</v>
      </c>
      <c r="E21" s="61">
        <f>1/(1-0.29)</f>
        <v>1.4084507042253522</v>
      </c>
      <c r="F21" s="62"/>
      <c r="G21" s="62"/>
      <c r="H21" s="59" t="s">
        <v>208</v>
      </c>
      <c r="I21" s="59" t="s">
        <v>251</v>
      </c>
      <c r="J21" s="59" t="s">
        <v>250</v>
      </c>
      <c r="K21" s="90"/>
    </row>
    <row r="22" spans="1:13">
      <c r="A22" s="57"/>
      <c r="B22" s="72"/>
      <c r="C22" s="61"/>
      <c r="D22" s="61"/>
      <c r="E22" s="61"/>
      <c r="F22" s="61"/>
      <c r="G22" s="61"/>
      <c r="J22" s="90"/>
      <c r="K22" s="90"/>
    </row>
    <row r="23" spans="1:13">
      <c r="A23" s="65" t="s">
        <v>63</v>
      </c>
      <c r="B23" s="91"/>
      <c r="C23" s="61"/>
      <c r="D23" s="61"/>
      <c r="E23" s="61"/>
      <c r="F23" s="61"/>
      <c r="G23" s="61"/>
      <c r="J23" s="90"/>
      <c r="K23" s="90"/>
    </row>
    <row r="24" spans="1:13">
      <c r="A24" s="57" t="s">
        <v>60</v>
      </c>
      <c r="B24" s="72"/>
      <c r="C24" s="243">
        <v>0.3</v>
      </c>
      <c r="D24" s="243">
        <v>0.09</v>
      </c>
      <c r="E24" s="62"/>
      <c r="F24" s="62"/>
      <c r="G24" s="62"/>
      <c r="H24" s="59" t="s">
        <v>335</v>
      </c>
      <c r="I24" s="59" t="s">
        <v>336</v>
      </c>
      <c r="J24" s="90"/>
      <c r="K24" s="90"/>
      <c r="M24" s="55" t="s">
        <v>252</v>
      </c>
    </row>
    <row r="25" spans="1:13">
      <c r="A25" s="57" t="s">
        <v>61</v>
      </c>
      <c r="B25" s="72"/>
      <c r="C25" s="61">
        <v>1</v>
      </c>
      <c r="D25" s="61"/>
      <c r="E25" s="61"/>
      <c r="F25" s="62"/>
      <c r="G25" s="62"/>
      <c r="H25" s="71" t="s">
        <v>105</v>
      </c>
      <c r="K25" s="90"/>
    </row>
    <row r="26" spans="1:13">
      <c r="A26" s="57" t="s">
        <v>62</v>
      </c>
      <c r="B26" s="72"/>
      <c r="C26" s="61">
        <f>AVERAGE(D26:G26)</f>
        <v>0.28566565514135123</v>
      </c>
      <c r="D26" s="61">
        <v>0.46735630180938331</v>
      </c>
      <c r="E26" s="67">
        <v>0.27287896622644192</v>
      </c>
      <c r="F26" s="61">
        <v>0.24617045041159857</v>
      </c>
      <c r="G26" s="200">
        <v>0.15625690211798099</v>
      </c>
      <c r="H26" s="59" t="s">
        <v>340</v>
      </c>
      <c r="I26" s="59" t="s">
        <v>323</v>
      </c>
      <c r="J26" s="59" t="s">
        <v>324</v>
      </c>
      <c r="K26" s="59" t="s">
        <v>325</v>
      </c>
      <c r="L26" s="59" t="s">
        <v>326</v>
      </c>
      <c r="M26" s="55" t="s">
        <v>253</v>
      </c>
    </row>
    <row r="27" spans="1:13" ht="32.5" customHeight="1">
      <c r="A27" s="57" t="s">
        <v>108</v>
      </c>
      <c r="B27" s="72" t="s">
        <v>109</v>
      </c>
      <c r="C27" s="61">
        <v>0.8</v>
      </c>
      <c r="D27" s="61"/>
      <c r="E27" s="61"/>
      <c r="F27" s="61"/>
      <c r="G27" s="61"/>
      <c r="H27" s="59" t="s">
        <v>155</v>
      </c>
      <c r="K27" s="90"/>
    </row>
    <row r="28" spans="1:13" ht="32.5" customHeight="1">
      <c r="A28" s="57" t="s">
        <v>207</v>
      </c>
      <c r="B28" s="72"/>
      <c r="C28" s="158">
        <v>2</v>
      </c>
      <c r="D28" s="61">
        <v>3</v>
      </c>
      <c r="E28" s="61">
        <v>1</v>
      </c>
      <c r="F28" s="61"/>
      <c r="G28" s="61"/>
      <c r="H28" s="55" t="s">
        <v>209</v>
      </c>
      <c r="K28" s="90"/>
    </row>
    <row r="29" spans="1:13" ht="13.25" customHeight="1">
      <c r="A29" s="57" t="s">
        <v>331</v>
      </c>
      <c r="B29" s="72"/>
      <c r="C29" s="158">
        <v>0.8</v>
      </c>
      <c r="D29" s="61">
        <v>1</v>
      </c>
      <c r="E29" s="61">
        <v>0.66</v>
      </c>
      <c r="F29" s="61"/>
      <c r="G29" s="61"/>
      <c r="H29" s="59" t="s">
        <v>332</v>
      </c>
      <c r="I29" s="59" t="s">
        <v>334</v>
      </c>
      <c r="K29" s="90"/>
      <c r="M29" s="59" t="s">
        <v>333</v>
      </c>
    </row>
    <row r="30" spans="1:13">
      <c r="B30" s="73"/>
      <c r="C30" s="62"/>
      <c r="D30" s="62"/>
      <c r="E30" s="62"/>
      <c r="F30" s="62"/>
      <c r="G30" s="62"/>
    </row>
    <row r="31" spans="1:13">
      <c r="A31" s="60" t="s">
        <v>64</v>
      </c>
      <c r="B31" s="88"/>
      <c r="C31" s="62"/>
      <c r="D31" s="62"/>
      <c r="E31" s="62"/>
      <c r="F31" s="62"/>
      <c r="G31" s="62"/>
    </row>
    <row r="32" spans="1:13" ht="28">
      <c r="A32" s="58" t="s">
        <v>110</v>
      </c>
      <c r="B32" s="73"/>
      <c r="C32" s="93">
        <v>2.41</v>
      </c>
      <c r="D32" s="62"/>
      <c r="E32" s="62"/>
      <c r="F32" s="62"/>
      <c r="G32" s="62"/>
      <c r="H32" s="59" t="s">
        <v>22</v>
      </c>
    </row>
    <row r="33" spans="1:13" ht="28">
      <c r="A33" s="58" t="s">
        <v>15</v>
      </c>
      <c r="B33" s="73"/>
      <c r="C33" s="62">
        <v>0.16600000000000001</v>
      </c>
      <c r="D33" s="62"/>
      <c r="E33" s="62"/>
      <c r="F33" s="62"/>
      <c r="G33" s="62"/>
      <c r="H33" s="59" t="s">
        <v>111</v>
      </c>
    </row>
    <row r="34" spans="1:13" ht="28">
      <c r="A34" s="58" t="s">
        <v>304</v>
      </c>
      <c r="B34" s="73"/>
      <c r="C34" s="229">
        <v>25</v>
      </c>
      <c r="D34" s="62">
        <v>10</v>
      </c>
      <c r="E34" s="62">
        <v>40</v>
      </c>
      <c r="F34" s="62"/>
      <c r="G34" s="62"/>
      <c r="H34" s="59" t="s">
        <v>306</v>
      </c>
      <c r="I34" s="59" t="s">
        <v>305</v>
      </c>
      <c r="J34" s="62" t="s">
        <v>302</v>
      </c>
    </row>
    <row r="35" spans="1:13" ht="28">
      <c r="A35" s="58" t="s">
        <v>112</v>
      </c>
      <c r="B35" s="73"/>
      <c r="C35" s="93">
        <v>0.253</v>
      </c>
      <c r="D35" s="62"/>
      <c r="E35" s="62"/>
      <c r="F35" s="62"/>
      <c r="G35" s="62"/>
      <c r="H35" s="59" t="s">
        <v>221</v>
      </c>
    </row>
    <row r="36" spans="1:13" ht="28">
      <c r="A36" s="58" t="s">
        <v>254</v>
      </c>
      <c r="B36" s="73"/>
      <c r="C36" s="158">
        <v>0.3</v>
      </c>
      <c r="D36" s="94">
        <v>0.16600000000000001</v>
      </c>
      <c r="E36" s="62"/>
      <c r="F36" s="62"/>
      <c r="G36" s="62"/>
      <c r="H36" s="59" t="s">
        <v>256</v>
      </c>
      <c r="I36" s="59" t="s">
        <v>255</v>
      </c>
    </row>
    <row r="37" spans="1:13">
      <c r="A37" s="81" t="s">
        <v>150</v>
      </c>
      <c r="B37" s="72"/>
      <c r="C37" s="226">
        <v>2.1338064047163861E-3</v>
      </c>
      <c r="D37" s="227">
        <v>1.6816029685289403E-3</v>
      </c>
      <c r="E37" s="228">
        <v>2.6396553670810863E-3</v>
      </c>
      <c r="F37" s="225"/>
      <c r="G37" s="225"/>
      <c r="H37" s="59" t="s">
        <v>257</v>
      </c>
      <c r="I37" s="59" t="s">
        <v>128</v>
      </c>
      <c r="J37" s="59" t="s">
        <v>129</v>
      </c>
    </row>
    <row r="38" spans="1:13" ht="28">
      <c r="A38" s="81" t="s">
        <v>151</v>
      </c>
      <c r="B38" s="72"/>
      <c r="C38" s="82">
        <v>3</v>
      </c>
      <c r="D38" s="66">
        <v>2</v>
      </c>
      <c r="E38" s="66"/>
      <c r="F38" s="62"/>
      <c r="G38" s="62"/>
      <c r="H38" s="87" t="s">
        <v>164</v>
      </c>
      <c r="I38" s="62" t="s">
        <v>146</v>
      </c>
      <c r="J38" s="62"/>
    </row>
    <row r="39" spans="1:13">
      <c r="A39" s="57"/>
      <c r="B39" s="72"/>
      <c r="C39" s="62"/>
      <c r="D39" s="62"/>
      <c r="E39" s="62"/>
      <c r="F39" s="62"/>
      <c r="G39" s="62"/>
    </row>
    <row r="40" spans="1:13">
      <c r="A40" s="60" t="s">
        <v>14</v>
      </c>
      <c r="B40" s="88"/>
      <c r="C40" s="62"/>
      <c r="D40" s="62"/>
      <c r="E40" s="62"/>
      <c r="F40" s="62"/>
      <c r="G40" s="62"/>
    </row>
    <row r="41" spans="1:13">
      <c r="A41" s="58" t="s">
        <v>67</v>
      </c>
      <c r="B41" s="73"/>
      <c r="C41" s="62">
        <v>4.7</v>
      </c>
      <c r="D41" s="62"/>
      <c r="E41" s="62"/>
      <c r="F41" s="62"/>
      <c r="G41" s="62"/>
      <c r="H41" s="95" t="s">
        <v>66</v>
      </c>
    </row>
    <row r="42" spans="1:13">
      <c r="A42" s="58" t="s">
        <v>68</v>
      </c>
      <c r="B42" s="73"/>
      <c r="C42" s="66">
        <f>C73</f>
        <v>285.92228810603416</v>
      </c>
      <c r="D42" s="62"/>
      <c r="E42" s="62"/>
      <c r="F42" s="62"/>
      <c r="G42" s="87"/>
      <c r="H42" s="59" t="s">
        <v>113</v>
      </c>
    </row>
    <row r="43" spans="1:13">
      <c r="A43" s="58" t="s">
        <v>17</v>
      </c>
      <c r="B43" s="73"/>
      <c r="C43" s="62">
        <v>1000</v>
      </c>
      <c r="D43" s="62"/>
      <c r="E43" s="62"/>
      <c r="F43" s="62"/>
      <c r="G43" s="62"/>
      <c r="H43" s="95" t="s">
        <v>66</v>
      </c>
    </row>
    <row r="44" spans="1:13">
      <c r="A44" s="58" t="s">
        <v>18</v>
      </c>
      <c r="B44" s="73"/>
      <c r="C44" s="66">
        <v>288</v>
      </c>
      <c r="D44" s="62"/>
      <c r="E44" s="62"/>
      <c r="F44" s="62"/>
      <c r="G44" s="62"/>
      <c r="H44" s="95" t="s">
        <v>66</v>
      </c>
    </row>
    <row r="45" spans="1:13">
      <c r="B45" s="73"/>
      <c r="C45" s="66"/>
      <c r="D45" s="62"/>
      <c r="E45" s="62"/>
      <c r="F45" s="62"/>
      <c r="G45" s="62"/>
      <c r="H45" s="95"/>
    </row>
    <row r="46" spans="1:13">
      <c r="A46" s="196" t="s">
        <v>210</v>
      </c>
      <c r="B46" s="73"/>
      <c r="C46" s="66"/>
      <c r="D46" s="62"/>
      <c r="E46" s="62"/>
      <c r="F46" s="62"/>
      <c r="G46" s="62"/>
      <c r="H46" s="95"/>
    </row>
    <row r="47" spans="1:13">
      <c r="A47" s="58" t="s">
        <v>217</v>
      </c>
      <c r="B47" s="73"/>
      <c r="C47" s="197">
        <v>0.1</v>
      </c>
      <c r="D47" s="197">
        <v>0.05</v>
      </c>
      <c r="E47" s="197">
        <v>7.4999999999999997E-2</v>
      </c>
      <c r="F47" s="197"/>
      <c r="G47" s="197"/>
      <c r="H47" t="s">
        <v>319</v>
      </c>
      <c r="I47" t="s">
        <v>241</v>
      </c>
      <c r="J47" s="59" t="s">
        <v>242</v>
      </c>
    </row>
    <row r="48" spans="1:13">
      <c r="A48" s="58" t="s">
        <v>211</v>
      </c>
      <c r="B48" s="73"/>
      <c r="C48" s="198">
        <v>0.8</v>
      </c>
      <c r="D48" s="198">
        <v>0.6</v>
      </c>
      <c r="E48" s="198">
        <v>0.9</v>
      </c>
      <c r="F48" s="198"/>
      <c r="G48" s="198"/>
      <c r="H48" t="s">
        <v>244</v>
      </c>
      <c r="I48" s="59" t="s">
        <v>245</v>
      </c>
      <c r="J48" s="59" t="s">
        <v>246</v>
      </c>
      <c r="M48" s="59" t="s">
        <v>243</v>
      </c>
    </row>
    <row r="49" spans="1:13">
      <c r="A49" s="58" t="s">
        <v>212</v>
      </c>
      <c r="B49" s="73"/>
      <c r="C49" s="198">
        <v>0.7</v>
      </c>
      <c r="D49" s="198"/>
      <c r="E49" s="198"/>
      <c r="F49" s="198"/>
      <c r="G49" s="198"/>
      <c r="H49" t="s">
        <v>312</v>
      </c>
      <c r="M49" s="59" t="s">
        <v>243</v>
      </c>
    </row>
    <row r="50" spans="1:13">
      <c r="A50" s="58" t="s">
        <v>227</v>
      </c>
      <c r="B50" s="73"/>
      <c r="C50" s="198">
        <v>1</v>
      </c>
      <c r="D50" s="198">
        <v>2</v>
      </c>
      <c r="E50" s="199"/>
      <c r="F50" s="198"/>
      <c r="G50" s="198"/>
      <c r="H50" t="s">
        <v>308</v>
      </c>
      <c r="I50" s="59" t="s">
        <v>309</v>
      </c>
    </row>
    <row r="51" spans="1:13">
      <c r="A51" s="58" t="s">
        <v>226</v>
      </c>
      <c r="B51" s="73"/>
      <c r="C51" s="198">
        <v>0.8</v>
      </c>
      <c r="D51" s="198">
        <v>1</v>
      </c>
      <c r="E51" s="198">
        <v>0.4</v>
      </c>
      <c r="F51" s="198"/>
      <c r="G51" s="198"/>
      <c r="H51" t="s">
        <v>259</v>
      </c>
      <c r="I51" s="59" t="s">
        <v>260</v>
      </c>
      <c r="J51" s="59" t="s">
        <v>261</v>
      </c>
    </row>
    <row r="52" spans="1:13">
      <c r="A52" s="58" t="s">
        <v>219</v>
      </c>
      <c r="B52" s="73"/>
      <c r="C52" s="198">
        <v>0.66</v>
      </c>
      <c r="D52" s="198"/>
      <c r="E52" s="198"/>
      <c r="F52" s="198"/>
      <c r="G52" s="198"/>
      <c r="H52" t="s">
        <v>310</v>
      </c>
    </row>
    <row r="53" spans="1:13">
      <c r="A53" s="58" t="s">
        <v>218</v>
      </c>
      <c r="B53" s="73"/>
      <c r="C53" s="198">
        <v>0.5</v>
      </c>
      <c r="D53" s="198">
        <v>0.75</v>
      </c>
      <c r="E53" s="198">
        <v>0.25</v>
      </c>
      <c r="F53" s="198"/>
      <c r="G53" s="198"/>
      <c r="H53" t="s">
        <v>263</v>
      </c>
      <c r="M53" s="59" t="s">
        <v>262</v>
      </c>
    </row>
    <row r="54" spans="1:13">
      <c r="A54" s="58" t="s">
        <v>220</v>
      </c>
      <c r="B54" s="73"/>
      <c r="C54" s="198">
        <v>0.8</v>
      </c>
      <c r="D54" s="198">
        <v>1</v>
      </c>
      <c r="E54" s="201">
        <f>16.6%*2</f>
        <v>0.33200000000000002</v>
      </c>
      <c r="F54" s="198"/>
      <c r="G54" s="198"/>
      <c r="H54" t="s">
        <v>264</v>
      </c>
      <c r="I54" s="59" t="s">
        <v>280</v>
      </c>
      <c r="J54" s="59" t="s">
        <v>265</v>
      </c>
    </row>
    <row r="55" spans="1:13" ht="28">
      <c r="A55" s="58" t="s">
        <v>224</v>
      </c>
      <c r="B55" s="73"/>
      <c r="C55" s="201">
        <f>15*0.24*0.01</f>
        <v>3.5999999999999997E-2</v>
      </c>
      <c r="D55" s="201">
        <f>(0.24*15)*0.0075</f>
        <v>2.6999999999999996E-2</v>
      </c>
      <c r="E55" s="201">
        <f>C55*1.5</f>
        <v>5.3999999999999992E-2</v>
      </c>
      <c r="F55" s="198"/>
      <c r="G55" s="198"/>
      <c r="H55" t="s">
        <v>266</v>
      </c>
      <c r="I55" s="59" t="s">
        <v>268</v>
      </c>
      <c r="J55" s="59" t="s">
        <v>267</v>
      </c>
    </row>
    <row r="56" spans="1:13">
      <c r="B56" s="73"/>
      <c r="C56" s="66"/>
      <c r="D56" s="62"/>
      <c r="E56" s="62"/>
      <c r="F56" s="62"/>
      <c r="G56" s="62"/>
      <c r="H56" s="95"/>
    </row>
    <row r="57" spans="1:13">
      <c r="B57" s="73"/>
      <c r="C57" s="66"/>
      <c r="D57" s="62"/>
      <c r="E57" s="62"/>
      <c r="F57" s="62"/>
      <c r="G57" s="62"/>
      <c r="H57" s="95"/>
    </row>
    <row r="58" spans="1:13">
      <c r="B58" s="73"/>
      <c r="C58" s="66"/>
      <c r="D58" s="62"/>
      <c r="E58" s="62"/>
      <c r="F58" s="62"/>
      <c r="G58" s="62"/>
    </row>
    <row r="59" spans="1:13">
      <c r="A59" s="60" t="s">
        <v>38</v>
      </c>
      <c r="B59" s="88"/>
      <c r="C59" s="62"/>
      <c r="D59" s="62"/>
      <c r="E59" s="62"/>
      <c r="F59" s="62"/>
      <c r="G59" s="62"/>
    </row>
    <row r="60" spans="1:13" ht="28">
      <c r="A60" s="78" t="s">
        <v>69</v>
      </c>
      <c r="B60" s="73"/>
      <c r="C60" s="79">
        <v>3337.06</v>
      </c>
      <c r="D60" s="62"/>
      <c r="E60" s="62"/>
      <c r="F60" s="62"/>
      <c r="G60" s="62"/>
      <c r="H60" s="391" t="s">
        <v>125</v>
      </c>
      <c r="I60" s="391"/>
      <c r="J60" s="391"/>
      <c r="K60" s="391"/>
      <c r="L60" s="391"/>
    </row>
    <row r="61" spans="1:13" ht="28">
      <c r="A61" s="78" t="s">
        <v>70</v>
      </c>
      <c r="B61" s="73"/>
      <c r="C61" s="79">
        <v>6.32</v>
      </c>
      <c r="D61" s="62"/>
      <c r="E61" s="62"/>
      <c r="F61" s="62"/>
      <c r="G61" s="62"/>
      <c r="H61" s="391"/>
      <c r="I61" s="391"/>
      <c r="J61" s="391"/>
      <c r="K61" s="391"/>
      <c r="L61" s="391"/>
    </row>
    <row r="62" spans="1:13" ht="28">
      <c r="A62" s="78" t="s">
        <v>71</v>
      </c>
      <c r="B62" s="73"/>
      <c r="C62" s="68">
        <f>C60/C61</f>
        <v>528.0158227848101</v>
      </c>
      <c r="D62" s="62"/>
      <c r="E62" s="62"/>
      <c r="F62" s="62"/>
      <c r="G62" s="62"/>
      <c r="H62" s="391"/>
      <c r="I62" s="391"/>
      <c r="J62" s="391"/>
      <c r="K62" s="391"/>
      <c r="L62" s="391"/>
    </row>
    <row r="63" spans="1:13">
      <c r="B63" s="73"/>
      <c r="C63" s="62"/>
      <c r="D63" s="62"/>
      <c r="E63" s="62"/>
      <c r="F63" s="62"/>
      <c r="G63" s="62"/>
    </row>
    <row r="64" spans="1:13">
      <c r="A64" s="60" t="s">
        <v>72</v>
      </c>
      <c r="B64" s="88"/>
      <c r="C64" s="76"/>
      <c r="E64" s="62"/>
      <c r="F64" s="62"/>
      <c r="G64" s="62"/>
      <c r="H64" s="87"/>
    </row>
    <row r="65" spans="1:15">
      <c r="A65" s="58" t="s">
        <v>74</v>
      </c>
      <c r="B65" s="73"/>
      <c r="C65" s="62">
        <v>1085</v>
      </c>
      <c r="D65" s="62"/>
      <c r="E65" s="62"/>
      <c r="F65" s="62"/>
      <c r="G65" s="62"/>
      <c r="H65" s="392" t="s">
        <v>73</v>
      </c>
      <c r="I65" s="392"/>
      <c r="J65" s="392"/>
      <c r="K65" s="392"/>
      <c r="L65" s="392"/>
      <c r="M65" s="392"/>
      <c r="N65" s="392"/>
      <c r="O65" s="392"/>
    </row>
    <row r="66" spans="1:15">
      <c r="A66" s="58" t="s">
        <v>75</v>
      </c>
      <c r="B66" s="73"/>
      <c r="C66" s="62">
        <v>287</v>
      </c>
      <c r="D66" s="62"/>
      <c r="E66" s="62"/>
      <c r="F66" s="62"/>
      <c r="G66" s="62"/>
      <c r="H66" s="392"/>
      <c r="I66" s="392"/>
      <c r="J66" s="392"/>
      <c r="K66" s="392"/>
      <c r="L66" s="392"/>
      <c r="M66" s="392"/>
      <c r="N66" s="392"/>
      <c r="O66" s="392"/>
    </row>
    <row r="67" spans="1:15">
      <c r="A67" s="58" t="s">
        <v>76</v>
      </c>
      <c r="B67" s="73"/>
      <c r="C67" s="62">
        <f>1525/C65</f>
        <v>1.4055299539170507</v>
      </c>
      <c r="D67" s="62" t="s">
        <v>114</v>
      </c>
      <c r="E67" s="62"/>
      <c r="F67" s="62"/>
      <c r="G67" s="62"/>
      <c r="H67" s="392"/>
      <c r="I67" s="392"/>
      <c r="J67" s="392"/>
      <c r="K67" s="392"/>
      <c r="L67" s="392"/>
      <c r="M67" s="392"/>
      <c r="N67" s="392"/>
      <c r="O67" s="392"/>
    </row>
    <row r="68" spans="1:15">
      <c r="A68" s="58" t="s">
        <v>77</v>
      </c>
      <c r="B68" s="73"/>
      <c r="C68" s="62">
        <v>137</v>
      </c>
      <c r="D68" s="62"/>
      <c r="E68" s="62"/>
      <c r="F68" s="62"/>
      <c r="G68" s="62"/>
      <c r="H68" s="392"/>
      <c r="I68" s="392"/>
      <c r="J68" s="392"/>
      <c r="K68" s="392"/>
      <c r="L68" s="392"/>
      <c r="M68" s="392"/>
      <c r="N68" s="392"/>
      <c r="O68" s="392"/>
    </row>
    <row r="69" spans="1:15">
      <c r="A69" s="58" t="s">
        <v>78</v>
      </c>
      <c r="B69" s="73"/>
      <c r="C69" s="62">
        <v>348</v>
      </c>
      <c r="D69" s="62"/>
      <c r="E69" s="62"/>
      <c r="F69" s="62"/>
      <c r="G69" s="62"/>
      <c r="H69" s="392"/>
      <c r="I69" s="392"/>
      <c r="J69" s="392"/>
      <c r="K69" s="392"/>
      <c r="L69" s="392"/>
      <c r="M69" s="392"/>
      <c r="N69" s="392"/>
      <c r="O69" s="392"/>
    </row>
    <row r="70" spans="1:15">
      <c r="A70" s="107" t="s">
        <v>115</v>
      </c>
      <c r="B70" s="73"/>
      <c r="C70" s="62">
        <v>157.4</v>
      </c>
      <c r="D70" s="62"/>
      <c r="E70" s="62"/>
      <c r="F70" s="62"/>
      <c r="G70" s="62"/>
      <c r="H70" s="392"/>
      <c r="I70" s="392"/>
      <c r="J70" s="392"/>
      <c r="K70" s="392"/>
      <c r="L70" s="392"/>
      <c r="M70" s="392"/>
      <c r="N70" s="392"/>
      <c r="O70" s="392"/>
    </row>
    <row r="71" spans="1:15">
      <c r="A71" s="105" t="s">
        <v>116</v>
      </c>
      <c r="B71" s="73"/>
      <c r="C71" s="62">
        <f>C70/C67</f>
        <v>111.98622950819673</v>
      </c>
      <c r="D71" s="62"/>
      <c r="E71" s="62"/>
      <c r="F71" s="62"/>
      <c r="G71" s="62"/>
      <c r="H71" s="392"/>
      <c r="I71" s="392"/>
      <c r="J71" s="392"/>
      <c r="K71" s="392"/>
      <c r="L71" s="392"/>
      <c r="M71" s="392"/>
      <c r="N71" s="392"/>
      <c r="O71" s="392"/>
    </row>
    <row r="72" spans="1:15">
      <c r="A72" s="105" t="s">
        <v>82</v>
      </c>
      <c r="B72" s="73"/>
      <c r="C72" s="62">
        <f>C71/C41</f>
        <v>23.826857342169514</v>
      </c>
      <c r="D72" s="62"/>
      <c r="E72" s="62"/>
      <c r="F72" s="62"/>
      <c r="G72" s="62"/>
      <c r="H72" s="392"/>
      <c r="I72" s="392"/>
      <c r="J72" s="392"/>
      <c r="K72" s="392"/>
      <c r="L72" s="392"/>
      <c r="M72" s="392"/>
      <c r="N72" s="392"/>
      <c r="O72" s="392"/>
    </row>
    <row r="73" spans="1:15">
      <c r="A73" s="105" t="s">
        <v>83</v>
      </c>
      <c r="B73" s="73"/>
      <c r="C73" s="62">
        <f>C72*12</f>
        <v>285.92228810603416</v>
      </c>
      <c r="D73" s="62"/>
      <c r="E73" s="62"/>
      <c r="F73" s="62"/>
      <c r="G73" s="62"/>
      <c r="H73" s="392"/>
      <c r="I73" s="392"/>
      <c r="J73" s="392"/>
      <c r="K73" s="392"/>
      <c r="L73" s="392"/>
      <c r="M73" s="392"/>
      <c r="N73" s="392"/>
      <c r="O73" s="392"/>
    </row>
    <row r="74" spans="1:15">
      <c r="A74" s="58" t="s">
        <v>79</v>
      </c>
      <c r="B74" s="73"/>
      <c r="C74" s="62">
        <f>(C68*C65+C69*C66)/SUM(C68:C69)</f>
        <v>512.41443298969068</v>
      </c>
      <c r="D74" s="62"/>
      <c r="E74" s="62"/>
      <c r="F74" s="62"/>
      <c r="G74" s="62"/>
      <c r="H74" s="392"/>
      <c r="I74" s="392"/>
      <c r="J74" s="392"/>
      <c r="K74" s="392"/>
      <c r="L74" s="392"/>
      <c r="M74" s="392"/>
      <c r="N74" s="392"/>
      <c r="O74" s="392"/>
    </row>
    <row r="75" spans="1:15">
      <c r="A75" s="58" t="s">
        <v>80</v>
      </c>
      <c r="B75" s="73"/>
      <c r="C75" s="62">
        <f>C74*C67</f>
        <v>720.21383438643159</v>
      </c>
      <c r="D75" s="62"/>
      <c r="E75" s="62"/>
      <c r="F75" s="62"/>
      <c r="G75" s="62"/>
      <c r="H75" s="392"/>
      <c r="I75" s="392"/>
      <c r="J75" s="392"/>
      <c r="K75" s="392"/>
      <c r="L75" s="392"/>
      <c r="M75" s="392"/>
      <c r="N75" s="392"/>
      <c r="O75" s="392"/>
    </row>
    <row r="76" spans="1:15">
      <c r="B76" s="73"/>
      <c r="C76" s="62"/>
      <c r="D76" s="62"/>
      <c r="E76" s="62"/>
      <c r="F76" s="62"/>
      <c r="G76" s="62"/>
    </row>
    <row r="77" spans="1:15">
      <c r="A77" s="58" t="s">
        <v>156</v>
      </c>
      <c r="B77" s="73"/>
      <c r="C77" s="62">
        <v>278.52</v>
      </c>
      <c r="D77" s="62"/>
      <c r="E77" s="62"/>
      <c r="F77" s="62"/>
      <c r="G77" s="87"/>
      <c r="H77" s="387" t="s">
        <v>158</v>
      </c>
      <c r="I77" s="388"/>
      <c r="J77" s="388"/>
      <c r="K77" s="388"/>
      <c r="L77" s="388"/>
      <c r="M77" s="388"/>
      <c r="N77" s="388"/>
      <c r="O77" s="388"/>
    </row>
    <row r="78" spans="1:15">
      <c r="A78" s="105" t="s">
        <v>157</v>
      </c>
      <c r="B78" s="73"/>
      <c r="C78" s="62">
        <v>36.18</v>
      </c>
      <c r="D78" s="62"/>
      <c r="E78" s="62"/>
      <c r="F78" s="62"/>
      <c r="G78" s="62"/>
      <c r="H78" s="388"/>
      <c r="I78" s="388"/>
      <c r="J78" s="388"/>
      <c r="K78" s="388"/>
      <c r="L78" s="388"/>
      <c r="M78" s="388"/>
      <c r="N78" s="388"/>
      <c r="O78" s="388"/>
    </row>
    <row r="79" spans="1:15">
      <c r="A79" s="105"/>
      <c r="B79" s="73"/>
      <c r="C79" s="62"/>
      <c r="D79" s="62"/>
      <c r="E79" s="62"/>
      <c r="F79" s="62"/>
      <c r="G79" s="62"/>
      <c r="H79" s="106"/>
      <c r="I79" s="106"/>
      <c r="J79" s="106"/>
      <c r="K79" s="106"/>
      <c r="L79" s="106"/>
      <c r="M79" s="106"/>
      <c r="N79" s="106"/>
      <c r="O79" s="106"/>
    </row>
    <row r="80" spans="1:15">
      <c r="A80" s="58" t="s">
        <v>81</v>
      </c>
      <c r="B80" s="73"/>
      <c r="C80" s="62">
        <v>564</v>
      </c>
      <c r="D80" s="62"/>
      <c r="E80" s="62"/>
      <c r="F80" s="62"/>
      <c r="G80" s="62"/>
      <c r="H80" s="388" t="s">
        <v>159</v>
      </c>
      <c r="I80" s="388"/>
      <c r="J80" s="388"/>
      <c r="K80" s="388"/>
      <c r="L80" s="388"/>
      <c r="M80" s="388"/>
      <c r="N80" s="388"/>
      <c r="O80" s="388"/>
    </row>
    <row r="81" spans="1:15" ht="28">
      <c r="A81" s="58" t="s">
        <v>192</v>
      </c>
      <c r="B81" s="73"/>
      <c r="C81" s="62">
        <v>107</v>
      </c>
      <c r="D81" s="62"/>
      <c r="E81" s="62"/>
      <c r="F81" s="62"/>
      <c r="G81" s="62"/>
      <c r="H81" s="388"/>
      <c r="I81" s="388"/>
      <c r="J81" s="388"/>
      <c r="K81" s="388"/>
      <c r="L81" s="388"/>
      <c r="M81" s="388"/>
      <c r="N81" s="388"/>
      <c r="O81" s="388"/>
    </row>
    <row r="82" spans="1:15">
      <c r="A82" s="58" t="s">
        <v>163</v>
      </c>
      <c r="B82" s="73"/>
      <c r="C82" s="69">
        <v>0.23</v>
      </c>
      <c r="D82" s="62"/>
      <c r="E82" s="62"/>
      <c r="F82" s="62"/>
      <c r="G82" s="62"/>
      <c r="H82" s="388"/>
      <c r="I82" s="388"/>
      <c r="J82" s="388"/>
      <c r="K82" s="388"/>
      <c r="L82" s="388"/>
      <c r="M82" s="388"/>
      <c r="N82" s="388"/>
      <c r="O82" s="388"/>
    </row>
    <row r="83" spans="1:15">
      <c r="B83" s="73"/>
      <c r="C83" s="69"/>
      <c r="D83" s="62"/>
      <c r="E83" s="62"/>
      <c r="F83" s="62"/>
      <c r="G83" s="62"/>
    </row>
    <row r="84" spans="1:15">
      <c r="A84" s="58" t="s">
        <v>160</v>
      </c>
      <c r="B84" s="73"/>
      <c r="C84" s="61">
        <f>RATE(20,-C81,C80)</f>
        <v>0.18315022118846105</v>
      </c>
      <c r="D84" s="69"/>
      <c r="E84" s="62"/>
      <c r="F84" s="62"/>
      <c r="G84" s="62"/>
      <c r="H84" s="59" t="s">
        <v>162</v>
      </c>
    </row>
    <row r="85" spans="1:15">
      <c r="A85" s="58" t="s">
        <v>161</v>
      </c>
      <c r="B85" s="73"/>
      <c r="C85" s="61">
        <f>C81/C80</f>
        <v>0.18971631205673758</v>
      </c>
      <c r="D85" s="62"/>
      <c r="E85" s="62"/>
      <c r="F85" s="62"/>
      <c r="G85" s="62"/>
      <c r="H85" s="59" t="s">
        <v>162</v>
      </c>
    </row>
    <row r="86" spans="1:15">
      <c r="B86" s="73"/>
      <c r="C86" s="69"/>
      <c r="D86" s="62"/>
      <c r="E86" s="62"/>
      <c r="F86" s="62"/>
      <c r="G86" s="62"/>
    </row>
    <row r="87" spans="1:15" ht="28">
      <c r="A87" s="60" t="s">
        <v>117</v>
      </c>
      <c r="B87" s="73"/>
      <c r="C87" s="61" t="s">
        <v>84</v>
      </c>
      <c r="D87" s="61" t="s">
        <v>85</v>
      </c>
      <c r="E87" s="62"/>
      <c r="F87" s="62"/>
      <c r="G87" s="76"/>
      <c r="H87" s="76" t="s">
        <v>118</v>
      </c>
      <c r="I87" s="87" t="s">
        <v>86</v>
      </c>
    </row>
    <row r="88" spans="1:15">
      <c r="A88" s="70" t="s">
        <v>88</v>
      </c>
      <c r="B88" s="73"/>
      <c r="C88" s="61">
        <v>0.35</v>
      </c>
      <c r="D88" s="61">
        <v>0.73799999999999999</v>
      </c>
      <c r="E88" s="62"/>
      <c r="F88" s="62"/>
      <c r="G88" s="76"/>
      <c r="H88" s="76" t="s">
        <v>119</v>
      </c>
      <c r="I88" s="87" t="s">
        <v>87</v>
      </c>
    </row>
    <row r="89" spans="1:15">
      <c r="A89" s="70" t="s">
        <v>89</v>
      </c>
      <c r="B89" s="73"/>
      <c r="C89" s="61">
        <f>6%*12/2</f>
        <v>0.36</v>
      </c>
      <c r="D89" s="61">
        <f>12%*12/2</f>
        <v>0.72</v>
      </c>
      <c r="E89" s="62"/>
      <c r="F89" s="62"/>
      <c r="G89" s="62"/>
      <c r="H89" s="59" t="s">
        <v>121</v>
      </c>
    </row>
    <row r="90" spans="1:15">
      <c r="A90" s="70" t="s">
        <v>90</v>
      </c>
      <c r="B90" s="73"/>
      <c r="C90" s="61">
        <v>0</v>
      </c>
      <c r="D90" s="61">
        <v>0</v>
      </c>
      <c r="E90" s="62"/>
      <c r="F90" s="62"/>
      <c r="G90" s="62"/>
      <c r="H90" s="59" t="s">
        <v>91</v>
      </c>
    </row>
    <row r="91" spans="1:15">
      <c r="A91" s="70" t="s">
        <v>92</v>
      </c>
      <c r="B91" s="73"/>
      <c r="C91" s="61">
        <f>28.8%*12</f>
        <v>3.4560000000000004</v>
      </c>
      <c r="D91" s="61">
        <f>45.6%*12</f>
        <v>5.4720000000000004</v>
      </c>
      <c r="E91" s="62"/>
      <c r="F91" s="62"/>
      <c r="G91" s="62"/>
      <c r="H91" s="59" t="s">
        <v>122</v>
      </c>
    </row>
    <row r="92" spans="1:15">
      <c r="A92" s="70" t="s">
        <v>93</v>
      </c>
      <c r="B92" s="73"/>
      <c r="C92" s="61">
        <v>0.3</v>
      </c>
      <c r="D92" s="61">
        <v>0.49</v>
      </c>
      <c r="E92" s="62"/>
      <c r="F92" s="62"/>
      <c r="G92" s="62"/>
    </row>
    <row r="93" spans="1:15">
      <c r="A93" s="70" t="s">
        <v>94</v>
      </c>
      <c r="B93" s="73"/>
      <c r="C93" s="61"/>
      <c r="D93" s="61">
        <v>0.35899999999999999</v>
      </c>
      <c r="E93" s="62"/>
      <c r="F93" s="62"/>
      <c r="G93" s="62"/>
    </row>
    <row r="94" spans="1:15">
      <c r="B94" s="73"/>
      <c r="C94" s="61"/>
      <c r="D94" s="61"/>
      <c r="E94" s="62"/>
      <c r="F94" s="62"/>
      <c r="G94" s="62"/>
    </row>
    <row r="95" spans="1:15">
      <c r="A95" s="70" t="s">
        <v>95</v>
      </c>
      <c r="B95" s="73"/>
      <c r="C95" s="61">
        <f>(C88+C89+C92)/3</f>
        <v>0.33666666666666667</v>
      </c>
      <c r="D95" s="61">
        <f>(D88+D89+D92+D93)/4</f>
        <v>0.57674999999999998</v>
      </c>
      <c r="E95" s="62"/>
      <c r="F95" s="61"/>
      <c r="G95" s="62"/>
      <c r="H95" s="59" t="s">
        <v>120</v>
      </c>
    </row>
  </sheetData>
  <mergeCells count="6">
    <mergeCell ref="H77:O78"/>
    <mergeCell ref="H80:O82"/>
    <mergeCell ref="C1:G1"/>
    <mergeCell ref="H1:L1"/>
    <mergeCell ref="H60:L62"/>
    <mergeCell ref="H65:O75"/>
  </mergeCells>
  <hyperlinks>
    <hyperlink ref="H11" r:id="rId1" location="Externalvalidity" display="Adjusting based on prevalence of any moderate-heavy helminth infection from MK 2004 using an odds-ratio form; see http://www.givewell.org/international/technical/programs/deworming/reanalysis#Externalvalidity"/>
    <hyperlink ref="J11" r:id="rId2" location="Externalvalidity" display="Adjusting based on prevalence of moderate-heavy schistosomiasis infections from MK 2004 using an odds-ratio form; see http://www.givewell.org/international/technical/programs/deworming/reanalysis#Externalvalidity"/>
    <hyperlink ref="I13" r:id="rId3" display="Lower end of Ioannidis's theoretical replicability (Table 4 in http://www.plosmedicine.org/article/info:doi/10.1371/journal.pmed.0020124)"/>
    <hyperlink ref="I87" r:id="rId4" location="Whatreturnoninvestmentdocashtransferrecipientsearn"/>
    <hyperlink ref="I88" r:id="rId5" location="Moredetailontwostudiesoflargeunconditionaltransfers"/>
    <hyperlink ref="H41" r:id="rId6"/>
    <hyperlink ref="H38" r:id="rId7" display="http://blog.givewell.org/2013/01/23/guest-post-from-david-barry-about-deworming-cost-effectiveness/"/>
    <hyperlink ref="J13" r:id="rId8" display="Lower end of Ioannidis's theoretical replicability (Table 4 in http://www.plosmedicine.org/article/info:doi/10.1371/journal.pmed.0020124)"/>
    <hyperlink ref="H65" r:id="rId9"/>
    <hyperlink ref="H77" r:id="rId10"/>
    <hyperlink ref="M4" r:id="rId11" location="Whatreturnoninvestmentdocashtransferrecipientsearn"/>
    <hyperlink ref="H28" r:id="rId12" location="HowleveragedareDtWIcontributions" display="http://www.givewell.org/content/working-review-deworm-world-initiative - HowleveragedareDtWIcontributions"/>
    <hyperlink ref="M17" r:id="rId13" location="Whatdoyougetforyourdollar" display="http://www.givewell.org/node/2365#Whatdoyougetforyourdollar"/>
    <hyperlink ref="M26" r:id="rId14" location="WhatproportionofchildrenareinfectedWhatistheintensityoftheseinfections" display="http://www.givewell.org/content/working-review-deworm-world-initiative - WhatproportionofchildrenareinfectedWhatistheintensityoftheseinfections"/>
    <hyperlink ref="M19" r:id="rId15" location="baseline" display="http://www.givewell.org/node/2365#baseline"/>
    <hyperlink ref="M24" r:id="rId16" location="Whatdoyougetforyourdollar"/>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zoomScale="98" workbookViewId="0">
      <selection activeCell="E20" sqref="E20"/>
    </sheetView>
  </sheetViews>
  <sheetFormatPr baseColWidth="10" defaultColWidth="8.83203125" defaultRowHeight="14" x14ac:dyDescent="0"/>
  <cols>
    <col min="2" max="2" width="55" bestFit="1" customWidth="1"/>
  </cols>
  <sheetData>
    <row r="2" spans="2:4">
      <c r="C2" s="152" t="s">
        <v>201</v>
      </c>
    </row>
    <row r="3" spans="2:4">
      <c r="B3" t="s">
        <v>182</v>
      </c>
      <c r="C3" s="55" t="s">
        <v>97</v>
      </c>
    </row>
    <row r="4" spans="2:4">
      <c r="B4" t="s">
        <v>98</v>
      </c>
      <c r="C4" s="55" t="s">
        <v>57</v>
      </c>
    </row>
    <row r="5" spans="2:4">
      <c r="B5" t="s">
        <v>104</v>
      </c>
      <c r="C5" s="55" t="s">
        <v>103</v>
      </c>
    </row>
    <row r="6" spans="2:4">
      <c r="B6" t="s">
        <v>106</v>
      </c>
      <c r="C6" t="s">
        <v>197</v>
      </c>
    </row>
    <row r="7" spans="2:4">
      <c r="B7" t="s">
        <v>126</v>
      </c>
      <c r="C7" s="55" t="s">
        <v>202</v>
      </c>
    </row>
    <row r="8" spans="2:4">
      <c r="B8" t="s">
        <v>142</v>
      </c>
      <c r="C8" s="55" t="s">
        <v>203</v>
      </c>
      <c r="D8" t="s">
        <v>200</v>
      </c>
    </row>
    <row r="9" spans="2:4">
      <c r="B9" t="s">
        <v>127</v>
      </c>
      <c r="C9" s="55" t="s">
        <v>130</v>
      </c>
    </row>
    <row r="10" spans="2:4">
      <c r="B10" t="s">
        <v>199</v>
      </c>
      <c r="C10" t="s">
        <v>197</v>
      </c>
    </row>
    <row r="11" spans="2:4">
      <c r="B11" t="s">
        <v>198</v>
      </c>
      <c r="C11" t="s">
        <v>197</v>
      </c>
    </row>
    <row r="12" spans="2:4">
      <c r="B12" t="s">
        <v>181</v>
      </c>
      <c r="C12" s="55" t="s">
        <v>183</v>
      </c>
    </row>
    <row r="13" spans="2:4">
      <c r="B13" t="s">
        <v>316</v>
      </c>
      <c r="C13" t="s">
        <v>197</v>
      </c>
    </row>
    <row r="14" spans="2:4">
      <c r="B14" s="59" t="s">
        <v>281</v>
      </c>
      <c r="C14" s="55" t="s">
        <v>282</v>
      </c>
    </row>
    <row r="15" spans="2:4">
      <c r="B15" s="59" t="s">
        <v>327</v>
      </c>
      <c r="C15" s="55" t="s">
        <v>328</v>
      </c>
    </row>
  </sheetData>
  <hyperlinks>
    <hyperlink ref="C3" r:id="rId1" display="http://www.givewell.org/files/DWDA 2009/Interventions/Deworming/MK Reanalysis/KLPS-Labor_2012-08-05.pdf"/>
    <hyperlink ref="C4" r:id="rId2" display="http://www.givewell.org/files/DWDA 2009/Interventions/Deworming/Miguel Kremer Worms - Identifying Impacts on Education and Health in the Presence of Treatment Externalities.pdf"/>
    <hyperlink ref="C5" r:id="rId3"/>
    <hyperlink ref="C9" r:id="rId4"/>
    <hyperlink ref="C12" r:id="rId5" display="http://www.givewell.org/files/DWDA 2009/Interventions/Global Burden of Disease and Risk Factors.pdf"/>
    <hyperlink ref="C7" r:id="rId6" display="http://www.givewell.org/files/DWDA 2009/Interventions/Nets/Cost-effectiveness analysis for LLIN distribution updated for 2013.xls"/>
    <hyperlink ref="C8" r:id="rId7" display="http://www.givewell.org/files/DWDA 2009/Interventions/Nets/GiveWell net cost estimates 2013.xls"/>
    <hyperlink ref="C14" r:id="rId8"/>
    <hyperlink ref="C15" r:id="rId9" display="http://www.givewell.org/files/DWDA 2009/SCI/SCI treatment numbers (October 2014).xlsx"/>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8"/>
  <sheetViews>
    <sheetView topLeftCell="A9" workbookViewId="0">
      <selection activeCell="J4" sqref="J4"/>
    </sheetView>
  </sheetViews>
  <sheetFormatPr baseColWidth="10" defaultColWidth="8.83203125" defaultRowHeight="11" x14ac:dyDescent="0"/>
  <cols>
    <col min="1" max="1" width="1.5" style="1" customWidth="1"/>
    <col min="2" max="2" width="9.33203125" style="1" customWidth="1"/>
    <col min="3" max="3" width="14.5" style="1" customWidth="1"/>
    <col min="4" max="4" width="5.83203125" style="1" customWidth="1"/>
    <col min="5" max="5" width="1.83203125" style="1" customWidth="1"/>
    <col min="6" max="6" width="18" style="1" customWidth="1"/>
    <col min="7" max="7" width="13.5" style="1" customWidth="1"/>
    <col min="8" max="8" width="1.33203125" style="1" customWidth="1"/>
    <col min="9" max="9" width="16.33203125" style="1" customWidth="1"/>
    <col min="10" max="10" width="8.5" style="1" customWidth="1"/>
    <col min="11" max="11" width="1.6640625" style="1" customWidth="1"/>
    <col min="12" max="12" width="22.83203125" style="1" customWidth="1"/>
    <col min="13" max="13" width="8.5" style="1" customWidth="1"/>
    <col min="14" max="14" width="0.83203125" style="1" customWidth="1"/>
    <col min="15" max="15" width="2.83203125" style="1" customWidth="1"/>
    <col min="16" max="16" width="2.6640625" style="1" customWidth="1"/>
    <col min="17" max="17" width="15.5" style="1" customWidth="1"/>
    <col min="18" max="18" width="30.83203125" style="1" customWidth="1"/>
    <col min="19" max="19" width="23.5" style="1" customWidth="1"/>
    <col min="20" max="20" width="1" style="1" customWidth="1"/>
    <col min="21" max="21" width="24.33203125" style="1" customWidth="1"/>
    <col min="22" max="22" width="10.6640625" style="1" customWidth="1"/>
    <col min="23" max="23" width="12.5" style="1" customWidth="1"/>
    <col min="24" max="24" width="13.6640625" style="1" customWidth="1"/>
    <col min="25" max="25" width="12.83203125" style="1" customWidth="1"/>
    <col min="26" max="16384" width="8.83203125" style="1"/>
  </cols>
  <sheetData>
    <row r="1" spans="1:53" ht="6" customHeight="1" thickBot="1">
      <c r="A1" s="54"/>
      <c r="B1" s="14"/>
      <c r="C1" s="14"/>
      <c r="D1" s="14"/>
      <c r="E1" s="14"/>
      <c r="F1" s="14"/>
      <c r="G1" s="14"/>
      <c r="H1" s="14"/>
      <c r="I1" s="14"/>
      <c r="J1" s="14"/>
      <c r="K1" s="14"/>
      <c r="L1" s="14"/>
      <c r="M1" s="14"/>
      <c r="N1" s="14"/>
      <c r="O1" s="14"/>
      <c r="P1" s="14"/>
      <c r="Q1" s="14"/>
      <c r="R1" s="25"/>
      <c r="S1" s="14"/>
      <c r="T1" s="14"/>
      <c r="U1" s="14"/>
      <c r="V1" s="14"/>
      <c r="W1" s="14"/>
      <c r="X1" s="14"/>
      <c r="Y1" s="14"/>
      <c r="Z1" s="14"/>
      <c r="AA1" s="14"/>
      <c r="AB1" s="14"/>
      <c r="AC1" s="14"/>
      <c r="AD1" s="14"/>
      <c r="AE1" s="14"/>
      <c r="AF1" s="14"/>
      <c r="AG1" s="14"/>
      <c r="AH1" s="14"/>
      <c r="AI1" s="14"/>
      <c r="AJ1" s="14"/>
      <c r="AK1" s="14"/>
      <c r="AL1" s="14"/>
      <c r="AM1" s="14"/>
      <c r="AN1" s="14"/>
      <c r="AO1" s="14"/>
      <c r="AP1" s="14"/>
    </row>
    <row r="2" spans="1:53" ht="10.25" customHeight="1">
      <c r="A2" s="14"/>
      <c r="B2" s="14"/>
      <c r="C2" s="222"/>
      <c r="D2" s="17"/>
      <c r="E2" s="17"/>
      <c r="F2" s="17"/>
      <c r="G2" s="17"/>
      <c r="H2" s="17"/>
      <c r="I2" s="17"/>
      <c r="J2" s="54"/>
      <c r="K2" s="54"/>
      <c r="L2" s="54"/>
      <c r="M2" s="54"/>
      <c r="N2" s="14"/>
      <c r="O2" s="14"/>
      <c r="P2" s="14"/>
      <c r="Q2" s="14"/>
      <c r="S2" s="302" t="s">
        <v>233</v>
      </c>
      <c r="T2" s="303"/>
      <c r="U2" s="195"/>
      <c r="V2" s="195"/>
      <c r="W2" s="195"/>
      <c r="X2" s="14"/>
      <c r="Y2" s="14"/>
      <c r="Z2" s="14"/>
      <c r="AA2" s="14"/>
      <c r="AB2" s="14"/>
      <c r="AC2" s="14"/>
      <c r="AD2" s="14"/>
      <c r="AE2" s="14"/>
      <c r="AF2" s="14"/>
      <c r="AG2" s="14"/>
      <c r="AH2" s="14"/>
      <c r="AI2" s="14"/>
      <c r="AJ2" s="14"/>
      <c r="AK2" s="14"/>
      <c r="AL2" s="14"/>
      <c r="AM2" s="14"/>
      <c r="AN2" s="14"/>
      <c r="AO2" s="14"/>
      <c r="AP2" s="14"/>
      <c r="AR2" t="s">
        <v>133</v>
      </c>
      <c r="AS2" t="s">
        <v>134</v>
      </c>
      <c r="AT2" t="s">
        <v>135</v>
      </c>
      <c r="AU2" t="s">
        <v>136</v>
      </c>
      <c r="AV2" t="s">
        <v>137</v>
      </c>
      <c r="AW2" t="s">
        <v>138</v>
      </c>
      <c r="AX2" t="s">
        <v>139</v>
      </c>
      <c r="AY2" t="s">
        <v>168</v>
      </c>
      <c r="AZ2" t="s">
        <v>141</v>
      </c>
    </row>
    <row r="3" spans="1:53" ht="10.25" customHeight="1" thickBot="1">
      <c r="A3" s="14"/>
      <c r="B3" s="222"/>
      <c r="C3" s="222"/>
      <c r="D3" s="17"/>
      <c r="E3" s="17"/>
      <c r="F3" s="17"/>
      <c r="G3" s="17"/>
      <c r="H3" s="17"/>
      <c r="I3" s="17"/>
      <c r="J3" s="54"/>
      <c r="K3" s="54"/>
      <c r="L3" s="54"/>
      <c r="M3" s="54"/>
      <c r="N3" s="14"/>
      <c r="O3" s="14"/>
      <c r="P3" s="14"/>
      <c r="Q3" s="14"/>
      <c r="R3" s="195"/>
      <c r="S3" s="304"/>
      <c r="T3" s="305"/>
      <c r="U3" s="195"/>
      <c r="V3" s="195"/>
      <c r="W3" s="195"/>
      <c r="X3" s="14"/>
      <c r="Y3" s="14"/>
      <c r="Z3" s="14"/>
      <c r="AA3" s="14"/>
      <c r="AB3" s="14"/>
      <c r="AC3" s="14"/>
      <c r="AD3" s="14"/>
      <c r="AE3" s="14"/>
      <c r="AF3" s="14"/>
      <c r="AG3" s="14"/>
      <c r="AH3" s="14"/>
      <c r="AI3" s="14"/>
      <c r="AJ3" s="14"/>
      <c r="AK3" s="14"/>
      <c r="AL3" s="14"/>
      <c r="AM3" s="14"/>
      <c r="AN3" s="14"/>
      <c r="AO3" s="14"/>
      <c r="AP3" s="14"/>
      <c r="AR3"/>
      <c r="AS3"/>
      <c r="AT3"/>
      <c r="AU3"/>
      <c r="AV3"/>
      <c r="AW3"/>
      <c r="AX3"/>
      <c r="AY3"/>
      <c r="AZ3"/>
    </row>
    <row r="4" spans="1:53" ht="40.75" customHeight="1">
      <c r="A4" s="14"/>
      <c r="B4" s="317" t="s">
        <v>295</v>
      </c>
      <c r="C4" s="317"/>
      <c r="D4" s="317"/>
      <c r="E4" s="224"/>
      <c r="F4" s="313" t="s">
        <v>232</v>
      </c>
      <c r="G4" s="314"/>
      <c r="H4" s="17"/>
      <c r="I4" s="14"/>
      <c r="J4" s="14"/>
      <c r="K4" s="14"/>
      <c r="L4" s="14"/>
      <c r="M4" s="14"/>
      <c r="N4" s="77"/>
      <c r="O4" s="77"/>
      <c r="P4" s="77"/>
      <c r="Q4" s="189"/>
      <c r="R4" s="240" t="s">
        <v>213</v>
      </c>
      <c r="S4" s="240" t="s">
        <v>30</v>
      </c>
      <c r="T4" s="298" t="s">
        <v>214</v>
      </c>
      <c r="U4" s="298"/>
      <c r="V4" s="298" t="s">
        <v>215</v>
      </c>
      <c r="W4" s="299"/>
      <c r="X4" s="14"/>
      <c r="Y4" s="14"/>
      <c r="Z4" s="14"/>
      <c r="AA4" s="14"/>
      <c r="AB4" s="14"/>
      <c r="AC4" s="14"/>
      <c r="AD4" s="14"/>
      <c r="AE4" s="14"/>
      <c r="AF4" s="14"/>
      <c r="AG4" s="14"/>
      <c r="AH4" s="14"/>
      <c r="AI4" s="14"/>
      <c r="AJ4" s="14"/>
      <c r="AK4" s="14"/>
      <c r="AL4" s="14"/>
      <c r="AM4" s="14"/>
      <c r="AN4" s="14"/>
      <c r="AO4" s="14"/>
      <c r="AP4" s="14"/>
      <c r="AR4">
        <v>0</v>
      </c>
      <c r="AS4" s="85">
        <f>Q36</f>
        <v>288</v>
      </c>
      <c r="AT4" s="85">
        <f>(1-$D$11)*AS4</f>
        <v>216</v>
      </c>
      <c r="AU4" s="85"/>
      <c r="AV4"/>
      <c r="AW4">
        <f>IF(ISNUMBER(AR5),SUM(AT4:AU4),SUM(AT4:AV4))</f>
        <v>216</v>
      </c>
      <c r="AX4" s="86">
        <f t="shared" ref="AX4:AX30" si="0">LN(AW4+$J$36)-LN($J$36)</f>
        <v>0.56272869303125006</v>
      </c>
      <c r="AY4">
        <f>IF(ISNUMBER(AR4),AX4/(1+$D$7)^AR4,0)</f>
        <v>0.56272869303125006</v>
      </c>
      <c r="AZ4"/>
    </row>
    <row r="5" spans="1:53" ht="10.75" customHeight="1" thickBot="1">
      <c r="A5" s="14"/>
      <c r="B5" s="318"/>
      <c r="C5" s="318"/>
      <c r="D5" s="318"/>
      <c r="E5" s="223"/>
      <c r="F5" s="315"/>
      <c r="G5" s="316"/>
      <c r="H5" s="27"/>
      <c r="I5" s="27"/>
      <c r="J5" s="14"/>
      <c r="K5" s="14"/>
      <c r="L5" s="14"/>
      <c r="M5" s="14"/>
      <c r="N5" s="14"/>
      <c r="O5" s="14"/>
      <c r="P5" s="14"/>
      <c r="Q5" s="234" t="s">
        <v>236</v>
      </c>
      <c r="R5" s="233">
        <f>D36/(1+D7)^10</f>
        <v>0.12275406386027049</v>
      </c>
      <c r="S5" s="233">
        <f>R5*(1-1/(1+D7)^G16)/(1-1/(1+D7))</f>
        <v>1.6619659586893096</v>
      </c>
      <c r="T5" s="300">
        <f>S5*G7*G9*G18*G8/G36</f>
        <v>4.6944396005800845E-2</v>
      </c>
      <c r="U5" s="300"/>
      <c r="V5" s="300">
        <f>G14*G11</f>
        <v>5.0448089055868213E-3</v>
      </c>
      <c r="W5" s="301"/>
      <c r="X5" s="14"/>
      <c r="Y5" s="14"/>
      <c r="Z5" s="14"/>
      <c r="AA5" s="14"/>
      <c r="AB5" s="14"/>
      <c r="AC5" s="14"/>
      <c r="AD5" s="14"/>
      <c r="AE5" s="14"/>
      <c r="AF5" s="14"/>
      <c r="AG5" s="14"/>
      <c r="AH5" s="14"/>
      <c r="AI5" s="14"/>
      <c r="AJ5" s="14"/>
      <c r="AK5" s="14"/>
      <c r="AL5" s="14"/>
      <c r="AM5" s="14"/>
      <c r="AN5" s="14"/>
      <c r="AO5" s="14"/>
      <c r="AP5" s="14"/>
      <c r="AR5">
        <f t="shared" ref="AR5:AR68" si="1">IF(AR4&lt;$D$14,AR4+1,"")</f>
        <v>1</v>
      </c>
      <c r="AS5" s="85">
        <f>AS4-AT4</f>
        <v>72</v>
      </c>
      <c r="AT5" s="85"/>
      <c r="AU5" s="85">
        <f t="shared" ref="AU5:AU70" si="2">$D$10*AS5</f>
        <v>7.2</v>
      </c>
      <c r="AV5" s="85">
        <f>AS5</f>
        <v>72</v>
      </c>
      <c r="AW5">
        <f t="shared" ref="AW5:AW14" si="3">IF(ISNUMBER(AR6),SUM(AT5:AU5),SUM(AT5:AV5))</f>
        <v>7.2</v>
      </c>
      <c r="AX5" s="86">
        <f t="shared" si="0"/>
        <v>2.4870030074646721E-2</v>
      </c>
      <c r="AY5">
        <f t="shared" ref="AY5:AY70" si="4">IF(ISNUMBER(AR5),AX5/(1+$D$7)^AR5,0)</f>
        <v>2.3134911697345786E-2</v>
      </c>
      <c r="AZ5">
        <f>SUM(AY5:AY113)</f>
        <v>0.32539584917159114</v>
      </c>
      <c r="BA5" s="1">
        <f>SUM(AY5:AY23)</f>
        <v>0.24768257462659457</v>
      </c>
    </row>
    <row r="6" spans="1:53" ht="14">
      <c r="A6" s="14"/>
      <c r="B6" s="10"/>
      <c r="C6" s="311" t="s">
        <v>12</v>
      </c>
      <c r="D6" s="311"/>
      <c r="E6" s="49"/>
      <c r="F6" s="23" t="s">
        <v>13</v>
      </c>
      <c r="G6" s="24"/>
      <c r="H6" s="50"/>
      <c r="I6" s="311" t="s">
        <v>40</v>
      </c>
      <c r="J6" s="311"/>
      <c r="K6" s="159"/>
      <c r="L6" s="312" t="s">
        <v>210</v>
      </c>
      <c r="M6" s="312"/>
      <c r="N6" s="11"/>
      <c r="O6" s="6"/>
      <c r="P6" s="14"/>
      <c r="Q6" s="234" t="s">
        <v>237</v>
      </c>
      <c r="R6" s="233">
        <f>(M15*M11)/(1+D7)^10</f>
        <v>8.7334907094263579E-3</v>
      </c>
      <c r="S6" s="233">
        <f>R6*(1-1/(1+D7)^G16)/(1-1/(1+D7))</f>
        <v>0.11824263737710503</v>
      </c>
      <c r="T6" s="300">
        <f>S6*M8*M9*M14*(W36/V36)</f>
        <v>1.6308024547050325E-3</v>
      </c>
      <c r="U6" s="300"/>
      <c r="V6" s="300">
        <v>0</v>
      </c>
      <c r="W6" s="301"/>
      <c r="X6" s="14"/>
      <c r="Y6" s="14"/>
      <c r="Z6" s="14"/>
      <c r="AA6" s="14"/>
      <c r="AB6" s="14"/>
      <c r="AC6" s="14"/>
      <c r="AD6" s="14"/>
      <c r="AE6" s="14"/>
      <c r="AF6" s="14"/>
      <c r="AG6" s="14"/>
      <c r="AH6" s="14"/>
      <c r="AI6" s="14"/>
      <c r="AJ6" s="14"/>
      <c r="AK6" s="14"/>
      <c r="AL6" s="14"/>
      <c r="AM6" s="14"/>
      <c r="AN6" s="14"/>
      <c r="AO6" s="14"/>
      <c r="AP6" s="14"/>
      <c r="AR6">
        <f t="shared" si="1"/>
        <v>2</v>
      </c>
      <c r="AS6" s="85">
        <f t="shared" ref="AS6:AS71" si="5">IF(ISNUMBER(AR6),AV5,0)</f>
        <v>72</v>
      </c>
      <c r="AT6" s="85"/>
      <c r="AU6" s="85">
        <f t="shared" si="2"/>
        <v>7.2</v>
      </c>
      <c r="AV6" s="85">
        <f t="shared" ref="AV6:AV71" si="6">AS6</f>
        <v>72</v>
      </c>
      <c r="AW6">
        <f t="shared" si="3"/>
        <v>7.2</v>
      </c>
      <c r="AX6" s="86">
        <f t="shared" si="0"/>
        <v>2.4870030074646721E-2</v>
      </c>
      <c r="AY6">
        <f t="shared" si="4"/>
        <v>2.1520848090554223E-2</v>
      </c>
      <c r="AZ6"/>
    </row>
    <row r="7" spans="1:53" ht="20.5" customHeight="1">
      <c r="A7" s="14"/>
      <c r="B7" s="306" t="s">
        <v>47</v>
      </c>
      <c r="C7" s="139" t="s">
        <v>0</v>
      </c>
      <c r="D7" s="242">
        <v>7.4999999999999997E-2</v>
      </c>
      <c r="E7" s="2"/>
      <c r="F7" s="174" t="s">
        <v>4</v>
      </c>
      <c r="G7" s="175">
        <v>0.30254930254930251</v>
      </c>
      <c r="H7" s="4"/>
      <c r="I7" s="174" t="s">
        <v>8</v>
      </c>
      <c r="J7" s="175">
        <v>8.9139100940933511E-2</v>
      </c>
      <c r="K7" s="160"/>
      <c r="L7" s="174" t="s">
        <v>217</v>
      </c>
      <c r="M7" s="180">
        <v>7.4999999999999997E-2</v>
      </c>
      <c r="N7" s="12"/>
      <c r="O7" s="6"/>
      <c r="P7" s="14"/>
      <c r="Q7" s="15"/>
      <c r="R7" s="6"/>
      <c r="S7" s="6"/>
      <c r="T7" s="6"/>
      <c r="U7" s="164"/>
      <c r="V7" s="6"/>
      <c r="W7" s="12"/>
      <c r="X7" s="14"/>
      <c r="Y7" s="14"/>
      <c r="Z7" s="14"/>
      <c r="AA7" s="14"/>
      <c r="AB7" s="14"/>
      <c r="AC7" s="14"/>
      <c r="AD7" s="14"/>
      <c r="AE7" s="14"/>
      <c r="AF7" s="14"/>
      <c r="AG7" s="14"/>
      <c r="AH7" s="14"/>
      <c r="AI7" s="14"/>
      <c r="AJ7" s="14"/>
      <c r="AK7" s="14"/>
      <c r="AL7" s="14"/>
      <c r="AM7" s="14"/>
      <c r="AN7" s="14"/>
      <c r="AO7" s="14"/>
      <c r="AP7" s="14"/>
      <c r="AR7">
        <f t="shared" si="1"/>
        <v>3</v>
      </c>
      <c r="AS7" s="85">
        <f>IF(ISNUMBER(AR7),AV6,0)</f>
        <v>72</v>
      </c>
      <c r="AT7" s="85"/>
      <c r="AU7" s="85">
        <f t="shared" si="2"/>
        <v>7.2</v>
      </c>
      <c r="AV7" s="85">
        <f t="shared" si="6"/>
        <v>72</v>
      </c>
      <c r="AW7">
        <f t="shared" si="3"/>
        <v>7.2</v>
      </c>
      <c r="AX7" s="86">
        <f t="shared" si="0"/>
        <v>2.4870030074646721E-2</v>
      </c>
      <c r="AY7">
        <f t="shared" si="4"/>
        <v>2.0019393572608579E-2</v>
      </c>
      <c r="AZ7"/>
    </row>
    <row r="8" spans="1:53" ht="20.5" customHeight="1">
      <c r="A8" s="14"/>
      <c r="B8" s="306"/>
      <c r="C8" s="127"/>
      <c r="D8" s="127"/>
      <c r="E8" s="51"/>
      <c r="F8" s="178" t="s">
        <v>6</v>
      </c>
      <c r="G8" s="13">
        <v>0.75</v>
      </c>
      <c r="H8" s="5"/>
      <c r="I8" s="153" t="s">
        <v>9</v>
      </c>
      <c r="J8" s="154">
        <f>AVERAGE(0.17, 0.67)</f>
        <v>0.42000000000000004</v>
      </c>
      <c r="K8" s="161"/>
      <c r="L8" s="153" t="s">
        <v>211</v>
      </c>
      <c r="M8" s="154">
        <v>0.75</v>
      </c>
      <c r="N8" s="12"/>
      <c r="O8" s="6"/>
      <c r="P8" s="14"/>
      <c r="Q8" s="309" t="s">
        <v>238</v>
      </c>
      <c r="R8" s="6"/>
      <c r="S8" s="235" t="s">
        <v>31</v>
      </c>
      <c r="T8" s="319" t="s">
        <v>34</v>
      </c>
      <c r="U8" s="319"/>
      <c r="V8" s="97"/>
      <c r="W8" s="12"/>
      <c r="X8" s="14"/>
      <c r="Y8" s="14"/>
      <c r="Z8" s="14"/>
      <c r="AA8" s="14"/>
      <c r="AB8" s="14"/>
      <c r="AC8" s="14"/>
      <c r="AD8" s="14"/>
      <c r="AE8" s="14"/>
      <c r="AF8" s="14"/>
      <c r="AG8" s="14"/>
      <c r="AH8" s="14"/>
      <c r="AI8" s="14"/>
      <c r="AJ8" s="14"/>
      <c r="AK8" s="14"/>
      <c r="AL8" s="14"/>
      <c r="AM8" s="14"/>
      <c r="AN8" s="14"/>
      <c r="AO8" s="14"/>
      <c r="AP8" s="14"/>
      <c r="AR8">
        <f t="shared" si="1"/>
        <v>4</v>
      </c>
      <c r="AS8" s="85">
        <f t="shared" si="5"/>
        <v>72</v>
      </c>
      <c r="AT8" s="85"/>
      <c r="AU8" s="85">
        <f t="shared" si="2"/>
        <v>7.2</v>
      </c>
      <c r="AV8" s="85">
        <f t="shared" si="6"/>
        <v>72</v>
      </c>
      <c r="AW8">
        <f t="shared" si="3"/>
        <v>7.2</v>
      </c>
      <c r="AX8" s="86">
        <f t="shared" si="0"/>
        <v>2.4870030074646721E-2</v>
      </c>
      <c r="AY8">
        <f t="shared" si="4"/>
        <v>1.862269169544984E-2</v>
      </c>
      <c r="AZ8"/>
    </row>
    <row r="9" spans="1:53" ht="33">
      <c r="A9" s="14"/>
      <c r="B9" s="306"/>
      <c r="C9" s="307" t="s">
        <v>14</v>
      </c>
      <c r="D9" s="307"/>
      <c r="E9" s="2"/>
      <c r="F9" s="153" t="s">
        <v>177</v>
      </c>
      <c r="G9" s="154">
        <v>1</v>
      </c>
      <c r="H9" s="5"/>
      <c r="I9" s="153" t="s">
        <v>204</v>
      </c>
      <c r="J9" s="154">
        <v>2</v>
      </c>
      <c r="K9" s="161"/>
      <c r="L9" s="153" t="s">
        <v>212</v>
      </c>
      <c r="M9" s="154">
        <v>0.8</v>
      </c>
      <c r="N9" s="12"/>
      <c r="O9" s="6"/>
      <c r="P9" s="14"/>
      <c r="Q9" s="309"/>
      <c r="R9" s="21" t="s">
        <v>46</v>
      </c>
      <c r="S9" s="125">
        <f>($V$5+$T$5*J14)*J7*J11</f>
        <v>3.7074167875480492E-3</v>
      </c>
      <c r="T9" s="308">
        <f>J12*S9/(J16/J9)</f>
        <v>2.4716111916986996E-2</v>
      </c>
      <c r="U9" s="308"/>
      <c r="V9" s="99"/>
      <c r="W9" s="12"/>
      <c r="X9" s="14"/>
      <c r="Y9" s="14"/>
      <c r="Z9" s="14"/>
      <c r="AA9" s="14"/>
      <c r="AB9" s="14"/>
      <c r="AC9" s="14"/>
      <c r="AD9" s="14"/>
      <c r="AE9" s="14"/>
      <c r="AF9" s="14"/>
      <c r="AG9" s="14"/>
      <c r="AH9" s="14"/>
      <c r="AI9" s="14"/>
      <c r="AJ9" s="14"/>
      <c r="AK9" s="14"/>
      <c r="AL9" s="14"/>
      <c r="AM9" s="14"/>
      <c r="AN9" s="14"/>
      <c r="AO9" s="14"/>
      <c r="AP9" s="14"/>
      <c r="AR9">
        <f t="shared" si="1"/>
        <v>5</v>
      </c>
      <c r="AS9" s="85">
        <f t="shared" si="5"/>
        <v>72</v>
      </c>
      <c r="AT9" s="85"/>
      <c r="AU9" s="85">
        <f t="shared" si="2"/>
        <v>7.2</v>
      </c>
      <c r="AV9" s="85">
        <f t="shared" si="6"/>
        <v>72</v>
      </c>
      <c r="AW9">
        <f>IF(ISNUMBER(AR10),SUM(AT9:AU9),SUM(AT9:AV9))</f>
        <v>7.2</v>
      </c>
      <c r="AX9" s="86">
        <f t="shared" si="0"/>
        <v>2.4870030074646721E-2</v>
      </c>
      <c r="AY9">
        <f t="shared" si="4"/>
        <v>1.7323434135302178E-2</v>
      </c>
      <c r="AZ9"/>
    </row>
    <row r="10" spans="1:53" ht="26.5" customHeight="1">
      <c r="A10" s="14"/>
      <c r="B10" s="306"/>
      <c r="C10" s="121" t="s">
        <v>3</v>
      </c>
      <c r="D10" s="122">
        <v>0.1</v>
      </c>
      <c r="E10" s="112"/>
      <c r="F10" s="126" t="s">
        <v>176</v>
      </c>
      <c r="G10" s="140">
        <v>2.4E-2</v>
      </c>
      <c r="H10" s="113"/>
      <c r="I10" s="153" t="s">
        <v>205</v>
      </c>
      <c r="J10" s="154">
        <v>1.4084507042253522</v>
      </c>
      <c r="K10" s="161"/>
      <c r="L10" s="153" t="s">
        <v>227</v>
      </c>
      <c r="M10" s="154">
        <v>1</v>
      </c>
      <c r="N10" s="12"/>
      <c r="O10" s="6"/>
      <c r="P10" s="14"/>
      <c r="Q10" s="309"/>
      <c r="R10" s="21" t="s">
        <v>45</v>
      </c>
      <c r="S10" s="238">
        <f>($V$5+$T$5*J15)*J8*J18</f>
        <v>1.6906304482173732E-2</v>
      </c>
      <c r="T10" s="308">
        <f>S10/(J17/J10)</f>
        <v>2.381169645376582E-2</v>
      </c>
      <c r="U10" s="308"/>
      <c r="V10" s="99"/>
      <c r="W10" s="12"/>
      <c r="X10" s="14"/>
      <c r="Y10" s="14"/>
      <c r="Z10" s="14"/>
      <c r="AA10" s="14"/>
      <c r="AB10" s="14"/>
      <c r="AC10" s="14"/>
      <c r="AD10" s="14"/>
      <c r="AE10" s="14"/>
      <c r="AF10" s="14"/>
      <c r="AG10" s="14"/>
      <c r="AH10" s="14"/>
      <c r="AI10" s="14"/>
      <c r="AJ10" s="14"/>
      <c r="AK10" s="14"/>
      <c r="AL10" s="14"/>
      <c r="AM10" s="14"/>
      <c r="AN10" s="14"/>
      <c r="AO10" s="14"/>
      <c r="AP10" s="14"/>
      <c r="AR10">
        <f t="shared" si="1"/>
        <v>6</v>
      </c>
      <c r="AS10" s="85">
        <f>IF(ISNUMBER(AR10),AV9,0)</f>
        <v>72</v>
      </c>
      <c r="AT10" s="85"/>
      <c r="AU10" s="85">
        <f t="shared" si="2"/>
        <v>7.2</v>
      </c>
      <c r="AV10" s="85">
        <f t="shared" si="6"/>
        <v>72</v>
      </c>
      <c r="AW10">
        <f>IF(ISNUMBER(AR11),SUM(AT10:AU10),SUM(AT10:AV10))</f>
        <v>7.2</v>
      </c>
      <c r="AX10" s="86">
        <f t="shared" si="0"/>
        <v>2.4870030074646721E-2</v>
      </c>
      <c r="AY10">
        <f t="shared" si="4"/>
        <v>1.6114822451443887E-2</v>
      </c>
      <c r="AZ10"/>
    </row>
    <row r="11" spans="1:53" ht="33" customHeight="1">
      <c r="A11" s="14"/>
      <c r="B11" s="306"/>
      <c r="C11" s="134" t="s">
        <v>5</v>
      </c>
      <c r="D11" s="135">
        <v>0.25</v>
      </c>
      <c r="E11" s="3"/>
      <c r="F11" s="153" t="s">
        <v>186</v>
      </c>
      <c r="G11" s="136">
        <v>3</v>
      </c>
      <c r="H11" s="6"/>
      <c r="I11" s="153" t="s">
        <v>107</v>
      </c>
      <c r="J11" s="154">
        <v>0.8</v>
      </c>
      <c r="K11" s="161"/>
      <c r="L11" s="153" t="s">
        <v>226</v>
      </c>
      <c r="M11" s="154">
        <v>0.5</v>
      </c>
      <c r="N11" s="12"/>
      <c r="O11" s="14"/>
      <c r="P11" s="14"/>
      <c r="Q11" s="309"/>
      <c r="R11" s="21" t="s">
        <v>216</v>
      </c>
      <c r="S11" s="238">
        <f>T6*M12</f>
        <v>1.6308024547050325E-3</v>
      </c>
      <c r="T11" s="308">
        <f>M13*S11/(M7/M10)</f>
        <v>1.0872016364700218E-2</v>
      </c>
      <c r="U11" s="308"/>
      <c r="V11" s="99"/>
      <c r="W11" s="12"/>
      <c r="X11" s="14"/>
      <c r="Y11" s="14"/>
      <c r="Z11" s="14"/>
      <c r="AA11" s="14"/>
      <c r="AB11" s="14"/>
      <c r="AC11" s="14"/>
      <c r="AD11" s="14"/>
      <c r="AE11" s="14"/>
      <c r="AF11" s="14"/>
      <c r="AG11" s="14"/>
      <c r="AH11" s="14"/>
      <c r="AI11" s="14"/>
      <c r="AJ11" s="14"/>
      <c r="AK11" s="14"/>
      <c r="AL11" s="14"/>
      <c r="AM11" s="14"/>
      <c r="AN11" s="14"/>
      <c r="AO11" s="14"/>
      <c r="AP11" s="14"/>
      <c r="AR11">
        <f t="shared" si="1"/>
        <v>7</v>
      </c>
      <c r="AS11" s="85">
        <f>IF(ISNUMBER(AR11),AV10,0)</f>
        <v>72</v>
      </c>
      <c r="AT11" s="85"/>
      <c r="AU11" s="85">
        <f t="shared" si="2"/>
        <v>7.2</v>
      </c>
      <c r="AV11" s="85">
        <f t="shared" si="6"/>
        <v>72</v>
      </c>
      <c r="AW11">
        <f>IF(ISNUMBER(AR12),SUM(AT11:AU11),SUM(AT11:AV11))</f>
        <v>7.2</v>
      </c>
      <c r="AX11" s="86">
        <f t="shared" si="0"/>
        <v>2.4870030074646721E-2</v>
      </c>
      <c r="AY11">
        <f t="shared" si="4"/>
        <v>1.4990532512971057E-2</v>
      </c>
      <c r="AZ11"/>
    </row>
    <row r="12" spans="1:53" ht="22.75" customHeight="1">
      <c r="A12" s="14"/>
      <c r="B12" s="15"/>
      <c r="C12" s="9"/>
      <c r="D12" s="8"/>
      <c r="E12" s="2"/>
      <c r="F12" s="52"/>
      <c r="G12" s="53"/>
      <c r="H12" s="9"/>
      <c r="I12" s="153" t="s">
        <v>330</v>
      </c>
      <c r="J12" s="154">
        <v>1</v>
      </c>
      <c r="K12" s="6"/>
      <c r="L12" s="153" t="s">
        <v>219</v>
      </c>
      <c r="M12" s="154">
        <v>1</v>
      </c>
      <c r="N12" s="12"/>
      <c r="O12" s="6"/>
      <c r="P12" s="14"/>
      <c r="Q12" s="123"/>
      <c r="R12" s="21"/>
      <c r="S12" s="124"/>
      <c r="T12" s="99"/>
      <c r="U12" s="99"/>
      <c r="V12" s="99"/>
      <c r="W12" s="12"/>
      <c r="X12" s="14"/>
      <c r="Y12" s="14"/>
      <c r="Z12" s="14"/>
      <c r="AA12" s="14"/>
      <c r="AB12" s="14"/>
      <c r="AC12" s="14"/>
      <c r="AD12" s="14"/>
      <c r="AE12" s="14"/>
      <c r="AF12" s="14"/>
      <c r="AG12" s="14"/>
      <c r="AH12" s="14"/>
      <c r="AI12" s="14"/>
      <c r="AJ12" s="14"/>
      <c r="AK12" s="14"/>
      <c r="AL12" s="14"/>
      <c r="AM12" s="14"/>
      <c r="AN12" s="14"/>
      <c r="AO12" s="14"/>
      <c r="AP12" s="14"/>
      <c r="AR12">
        <f t="shared" si="1"/>
        <v>8</v>
      </c>
      <c r="AS12" s="85">
        <f>IF(ISNUMBER(AR12),AV11,0)</f>
        <v>72</v>
      </c>
      <c r="AT12" s="85"/>
      <c r="AU12" s="85">
        <f t="shared" si="2"/>
        <v>7.2</v>
      </c>
      <c r="AV12" s="85">
        <f t="shared" si="6"/>
        <v>72</v>
      </c>
      <c r="AW12">
        <f>IF(ISNUMBER(AR13),SUM(AT12:AU12),SUM(AT12:AV12))</f>
        <v>7.2</v>
      </c>
      <c r="AX12" s="86">
        <f t="shared" si="0"/>
        <v>2.4870030074646721E-2</v>
      </c>
      <c r="AY12">
        <f t="shared" si="4"/>
        <v>1.3944681407414937E-2</v>
      </c>
      <c r="AZ12"/>
    </row>
    <row r="13" spans="1:53" ht="24" customHeight="1">
      <c r="A13" s="14"/>
      <c r="B13" s="15"/>
      <c r="C13" s="9"/>
      <c r="D13" s="8"/>
      <c r="E13" s="2"/>
      <c r="F13" s="52"/>
      <c r="G13" s="53"/>
      <c r="H13" s="6"/>
      <c r="I13" s="9"/>
      <c r="J13" s="8"/>
      <c r="K13" s="6"/>
      <c r="L13" s="153" t="s">
        <v>218</v>
      </c>
      <c r="M13" s="154">
        <v>0.5</v>
      </c>
      <c r="N13" s="12"/>
      <c r="O13" s="6"/>
      <c r="P13" s="14"/>
      <c r="Q13" s="309" t="s">
        <v>239</v>
      </c>
      <c r="R13" s="48"/>
      <c r="S13" s="235" t="s">
        <v>173</v>
      </c>
      <c r="T13" s="319" t="s">
        <v>174</v>
      </c>
      <c r="U13" s="319"/>
      <c r="V13" s="235" t="s">
        <v>175</v>
      </c>
      <c r="W13" s="237" t="s">
        <v>184</v>
      </c>
      <c r="X13" s="14"/>
      <c r="Y13" s="14"/>
      <c r="Z13" s="14"/>
      <c r="AA13" s="14"/>
      <c r="AB13" s="14"/>
      <c r="AC13" s="14"/>
      <c r="AD13" s="14"/>
      <c r="AE13" s="14"/>
      <c r="AF13" s="14"/>
      <c r="AG13" s="14"/>
      <c r="AH13" s="14"/>
      <c r="AI13" s="14"/>
      <c r="AJ13" s="14"/>
      <c r="AK13" s="14"/>
      <c r="AL13" s="14"/>
      <c r="AM13" s="14"/>
      <c r="AN13" s="14"/>
      <c r="AO13" s="14"/>
      <c r="AP13" s="14"/>
      <c r="AR13">
        <f t="shared" si="1"/>
        <v>9</v>
      </c>
      <c r="AS13" s="85">
        <f>IF(ISNUMBER(AR13),AV12,0)</f>
        <v>72</v>
      </c>
      <c r="AT13" s="85"/>
      <c r="AU13" s="85">
        <f t="shared" si="2"/>
        <v>7.2</v>
      </c>
      <c r="AV13" s="85">
        <f t="shared" si="6"/>
        <v>72</v>
      </c>
      <c r="AW13">
        <f t="shared" si="3"/>
        <v>7.2</v>
      </c>
      <c r="AX13" s="86">
        <f t="shared" si="0"/>
        <v>2.4870030074646721E-2</v>
      </c>
      <c r="AY13">
        <f t="shared" si="4"/>
        <v>1.2971796658060407E-2</v>
      </c>
      <c r="AZ13"/>
    </row>
    <row r="14" spans="1:53" ht="21" customHeight="1">
      <c r="A14" s="14"/>
      <c r="B14" s="357" t="s">
        <v>296</v>
      </c>
      <c r="C14" s="358" t="s">
        <v>1</v>
      </c>
      <c r="D14" s="359">
        <v>40</v>
      </c>
      <c r="E14" s="3"/>
      <c r="F14" s="358" t="s">
        <v>2</v>
      </c>
      <c r="G14" s="359">
        <v>1.6816029685289403E-3</v>
      </c>
      <c r="H14" s="6"/>
      <c r="I14" s="128" t="s">
        <v>11</v>
      </c>
      <c r="J14" s="129">
        <v>1</v>
      </c>
      <c r="K14" s="162"/>
      <c r="L14" s="153" t="s">
        <v>220</v>
      </c>
      <c r="M14" s="154">
        <v>0.8</v>
      </c>
      <c r="N14" s="12"/>
      <c r="O14" s="6"/>
      <c r="P14" s="14"/>
      <c r="Q14" s="309"/>
      <c r="R14" s="21" t="s">
        <v>46</v>
      </c>
      <c r="S14" s="238">
        <f>(1000/(J16/J9))*J14*J12*J11*G9*G10*G7*J7*G8*G18*(1/G36)</f>
        <v>0.32228482041621487</v>
      </c>
      <c r="T14" s="325">
        <f>(((1000/(J16/J9))*G14)/U36)*J7*J11</f>
        <v>2.188770456827191E-2</v>
      </c>
      <c r="U14" s="325"/>
      <c r="V14" s="238">
        <f>S14+T14</f>
        <v>0.34417252498448681</v>
      </c>
      <c r="W14" s="192">
        <f>1000/V14</f>
        <v>2905.519550246127</v>
      </c>
      <c r="X14" s="14"/>
      <c r="Y14" s="14"/>
      <c r="Z14" s="14"/>
      <c r="AA14" s="14"/>
      <c r="AB14" s="14"/>
      <c r="AC14" s="14"/>
      <c r="AD14" s="14"/>
      <c r="AE14" s="14"/>
      <c r="AF14" s="14"/>
      <c r="AG14" s="14"/>
      <c r="AH14" s="14"/>
      <c r="AI14" s="14"/>
      <c r="AJ14" s="14"/>
      <c r="AK14" s="14"/>
      <c r="AL14" s="14"/>
      <c r="AM14" s="14"/>
      <c r="AN14" s="14"/>
      <c r="AO14" s="14"/>
      <c r="AP14" s="14"/>
      <c r="AR14">
        <f t="shared" si="1"/>
        <v>10</v>
      </c>
      <c r="AS14" s="85">
        <f t="shared" si="5"/>
        <v>72</v>
      </c>
      <c r="AT14" s="85"/>
      <c r="AU14" s="85">
        <f t="shared" si="2"/>
        <v>7.2</v>
      </c>
      <c r="AV14" s="85">
        <f t="shared" si="6"/>
        <v>72</v>
      </c>
      <c r="AW14">
        <f t="shared" si="3"/>
        <v>7.2</v>
      </c>
      <c r="AX14" s="86">
        <f t="shared" si="0"/>
        <v>2.4870030074646721E-2</v>
      </c>
      <c r="AY14">
        <f t="shared" si="4"/>
        <v>1.2066787588893405E-2</v>
      </c>
      <c r="AZ14"/>
    </row>
    <row r="15" spans="1:53" ht="21" customHeight="1">
      <c r="A15" s="14"/>
      <c r="B15" s="357"/>
      <c r="C15" s="354"/>
      <c r="D15" s="359"/>
      <c r="E15" s="3"/>
      <c r="F15" s="354"/>
      <c r="G15" s="363"/>
      <c r="H15" s="6"/>
      <c r="I15" s="137" t="s">
        <v>10</v>
      </c>
      <c r="J15" s="138">
        <v>0.75</v>
      </c>
      <c r="K15" s="162"/>
      <c r="L15" s="176" t="s">
        <v>224</v>
      </c>
      <c r="M15" s="241">
        <v>3.5999999999999997E-2</v>
      </c>
      <c r="N15" s="12"/>
      <c r="O15" s="6"/>
      <c r="P15" s="14"/>
      <c r="Q15" s="309"/>
      <c r="R15" s="21" t="s">
        <v>45</v>
      </c>
      <c r="S15" s="230">
        <f>(1000/(J17/J10))*J15*J8*G10*G7*G8*J18*G9*G18*(1/G36)</f>
        <v>0.30076346422556466</v>
      </c>
      <c r="T15" s="326">
        <f>(((1000/(J17/J10))*G14)/U36)*J18*J8</f>
        <v>2.7234799501871378E-2</v>
      </c>
      <c r="U15" s="326"/>
      <c r="V15" s="238">
        <f>S15+T15</f>
        <v>0.32799826372743601</v>
      </c>
      <c r="W15" s="192">
        <f>1000/V15</f>
        <v>3048.796626652244</v>
      </c>
      <c r="X15" s="14"/>
      <c r="Y15" s="14"/>
      <c r="Z15" s="14"/>
      <c r="AA15" s="14"/>
      <c r="AB15" s="14"/>
      <c r="AC15" s="14"/>
      <c r="AD15" s="14"/>
      <c r="AE15" s="14"/>
      <c r="AF15" s="14"/>
      <c r="AG15" s="14"/>
      <c r="AH15" s="14"/>
      <c r="AI15" s="14"/>
      <c r="AJ15" s="14"/>
      <c r="AK15" s="14"/>
      <c r="AL15" s="14"/>
      <c r="AM15" s="14"/>
      <c r="AN15" s="14"/>
      <c r="AO15" s="14"/>
      <c r="AP15" s="14"/>
      <c r="AR15">
        <f t="shared" si="1"/>
        <v>11</v>
      </c>
      <c r="AS15" s="85">
        <f t="shared" si="5"/>
        <v>72</v>
      </c>
      <c r="AT15" s="85"/>
      <c r="AU15" s="85">
        <f t="shared" si="2"/>
        <v>7.2</v>
      </c>
      <c r="AV15" s="85">
        <f t="shared" si="6"/>
        <v>72</v>
      </c>
      <c r="AW15">
        <f>IF(ISNUMBER(AR16),SUM(AT15:AU15),SUM(AT15:AV15))</f>
        <v>7.2</v>
      </c>
      <c r="AX15" s="86">
        <f t="shared" si="0"/>
        <v>2.4870030074646721E-2</v>
      </c>
      <c r="AY15">
        <f t="shared" si="4"/>
        <v>1.1224918687342701E-2</v>
      </c>
      <c r="AZ15"/>
    </row>
    <row r="16" spans="1:53" ht="21" customHeight="1">
      <c r="A16" s="14"/>
      <c r="B16" s="357"/>
      <c r="C16" s="353" t="s">
        <v>19</v>
      </c>
      <c r="D16" s="360">
        <v>0.80400000000000005</v>
      </c>
      <c r="E16" s="3"/>
      <c r="F16" s="353" t="s">
        <v>303</v>
      </c>
      <c r="G16" s="355">
        <v>40</v>
      </c>
      <c r="H16" s="6"/>
      <c r="I16" s="132" t="s">
        <v>28</v>
      </c>
      <c r="J16" s="130">
        <v>0.3</v>
      </c>
      <c r="K16" s="163"/>
      <c r="L16" s="6"/>
      <c r="M16" s="6"/>
      <c r="N16" s="12"/>
      <c r="O16" s="6"/>
      <c r="P16" s="14"/>
      <c r="Q16" s="309"/>
      <c r="R16" s="21" t="s">
        <v>210</v>
      </c>
      <c r="S16" s="367">
        <f>(1000/(M7/M10))*M9*M8*(1/V36)*W36*M12*M14*M11*(M15/D36)*M13*G10</f>
        <v>0.15699984189723321</v>
      </c>
      <c r="T16" s="367"/>
      <c r="U16" s="239">
        <v>0</v>
      </c>
      <c r="V16" s="238">
        <f>S16+U16</f>
        <v>0.15699984189723321</v>
      </c>
      <c r="W16" s="192">
        <f>1000/V16</f>
        <v>6369.4331657643725</v>
      </c>
      <c r="X16" s="14"/>
      <c r="Y16" s="14"/>
      <c r="Z16" s="14"/>
      <c r="AA16" s="14"/>
      <c r="AB16" s="14"/>
      <c r="AC16" s="14"/>
      <c r="AD16" s="14"/>
      <c r="AE16" s="14"/>
      <c r="AF16" s="14"/>
      <c r="AG16" s="14"/>
      <c r="AH16" s="14"/>
      <c r="AI16" s="14"/>
      <c r="AJ16" s="14"/>
      <c r="AK16" s="14"/>
      <c r="AL16" s="14"/>
      <c r="AM16" s="14"/>
      <c r="AN16" s="14"/>
      <c r="AO16" s="14"/>
      <c r="AP16" s="14"/>
      <c r="AR16">
        <f t="shared" si="1"/>
        <v>12</v>
      </c>
      <c r="AS16" s="85">
        <f t="shared" si="5"/>
        <v>72</v>
      </c>
      <c r="AT16" s="85"/>
      <c r="AU16" s="85">
        <f t="shared" si="2"/>
        <v>7.2</v>
      </c>
      <c r="AV16" s="85">
        <f t="shared" si="6"/>
        <v>72</v>
      </c>
      <c r="AW16">
        <f t="shared" ref="AW16:AW80" si="7">IF(ISNUMBER(AR17),SUM(AT16:AU16),SUM(AT16:AV16))</f>
        <v>7.2</v>
      </c>
      <c r="AX16" s="86">
        <f t="shared" si="0"/>
        <v>2.4870030074646721E-2</v>
      </c>
      <c r="AY16">
        <f t="shared" si="4"/>
        <v>1.044178482543507E-2</v>
      </c>
      <c r="AZ16"/>
    </row>
    <row r="17" spans="1:53" ht="31.75" customHeight="1">
      <c r="A17" s="14"/>
      <c r="B17" s="357"/>
      <c r="C17" s="362"/>
      <c r="D17" s="361"/>
      <c r="E17" s="3"/>
      <c r="F17" s="354"/>
      <c r="G17" s="356"/>
      <c r="H17" s="6"/>
      <c r="I17" s="133" t="s">
        <v>7</v>
      </c>
      <c r="J17" s="131">
        <v>1</v>
      </c>
      <c r="K17" s="163"/>
      <c r="L17" s="14"/>
      <c r="M17" s="14"/>
      <c r="N17" s="12"/>
      <c r="O17" s="6"/>
      <c r="P17" s="14"/>
      <c r="Q17" s="15"/>
      <c r="R17" s="6"/>
      <c r="S17" s="6"/>
      <c r="T17" s="6"/>
      <c r="U17" s="6"/>
      <c r="V17" s="6"/>
      <c r="W17" s="12"/>
      <c r="X17" s="14"/>
      <c r="Y17" s="14"/>
      <c r="Z17" s="14"/>
      <c r="AA17" s="14"/>
      <c r="AB17" s="14"/>
      <c r="AC17" s="14"/>
      <c r="AD17" s="14"/>
      <c r="AE17" s="14"/>
      <c r="AF17" s="14"/>
      <c r="AG17" s="14"/>
      <c r="AH17" s="14"/>
      <c r="AI17" s="14"/>
      <c r="AJ17" s="14"/>
      <c r="AK17" s="14"/>
      <c r="AL17" s="14"/>
      <c r="AM17" s="14"/>
      <c r="AN17" s="14"/>
      <c r="AO17" s="14"/>
      <c r="AP17" s="14"/>
      <c r="AR17">
        <f>IF(AR16&lt;$D$14,AR16+1,"")</f>
        <v>13</v>
      </c>
      <c r="AS17" s="85">
        <f>IF(ISNUMBER(AR17),AV16,0)</f>
        <v>72</v>
      </c>
      <c r="AT17" s="85"/>
      <c r="AU17" s="85">
        <f t="shared" si="2"/>
        <v>7.2</v>
      </c>
      <c r="AV17" s="85">
        <f t="shared" si="6"/>
        <v>72</v>
      </c>
      <c r="AW17">
        <f>IF(ISNUMBER(AR18),SUM(AT17:AU17),SUM(AT17:AV17))</f>
        <v>7.2</v>
      </c>
      <c r="AX17" s="86">
        <f t="shared" si="0"/>
        <v>2.4870030074646721E-2</v>
      </c>
      <c r="AY17">
        <f t="shared" si="4"/>
        <v>9.7132882097070421E-3</v>
      </c>
      <c r="AZ17"/>
    </row>
    <row r="18" spans="1:53" ht="30.5" customHeight="1">
      <c r="A18" s="14"/>
      <c r="B18" s="357"/>
      <c r="C18" s="6"/>
      <c r="D18" s="6"/>
      <c r="E18" s="3"/>
      <c r="F18" s="150" t="s">
        <v>254</v>
      </c>
      <c r="G18" s="147">
        <v>0.3</v>
      </c>
      <c r="H18" s="6"/>
      <c r="I18" s="146" t="s">
        <v>131</v>
      </c>
      <c r="J18" s="145">
        <v>1</v>
      </c>
      <c r="K18" s="162"/>
      <c r="L18" s="14"/>
      <c r="M18" s="14"/>
      <c r="N18" s="12"/>
      <c r="O18" s="6"/>
      <c r="P18" s="6"/>
      <c r="Q18" s="309" t="s">
        <v>240</v>
      </c>
      <c r="R18" s="235" t="s">
        <v>179</v>
      </c>
      <c r="S18" s="235" t="s">
        <v>35</v>
      </c>
      <c r="T18" s="319" t="s">
        <v>36</v>
      </c>
      <c r="U18" s="319"/>
      <c r="V18" s="319" t="s">
        <v>34</v>
      </c>
      <c r="W18" s="324"/>
      <c r="X18" s="14"/>
      <c r="Y18" s="14"/>
      <c r="Z18" s="14"/>
      <c r="AA18" s="14"/>
      <c r="AB18" s="14"/>
      <c r="AC18" s="14"/>
      <c r="AD18" s="14"/>
      <c r="AE18" s="14"/>
      <c r="AF18" s="14"/>
      <c r="AG18" s="14"/>
      <c r="AH18" s="14"/>
      <c r="AI18" s="14"/>
      <c r="AJ18" s="14"/>
      <c r="AK18" s="14"/>
      <c r="AL18" s="14"/>
      <c r="AM18" s="14"/>
      <c r="AN18" s="14"/>
      <c r="AO18" s="14"/>
      <c r="AP18" s="14"/>
      <c r="AR18">
        <f>IF(AR17&lt;$D$14,AR17+1,"")</f>
        <v>14</v>
      </c>
      <c r="AS18" s="85">
        <f>IF(ISNUMBER(AR18),AV17,0)</f>
        <v>72</v>
      </c>
      <c r="AT18" s="85"/>
      <c r="AU18" s="85">
        <f t="shared" si="2"/>
        <v>7.2</v>
      </c>
      <c r="AV18" s="85">
        <f t="shared" si="6"/>
        <v>72</v>
      </c>
      <c r="AW18">
        <f>IF(ISNUMBER(AR19),SUM(AT18:AU18),SUM(AT18:AV18))</f>
        <v>7.2</v>
      </c>
      <c r="AX18" s="86">
        <f t="shared" si="0"/>
        <v>2.4870030074646721E-2</v>
      </c>
      <c r="AY18">
        <f t="shared" si="4"/>
        <v>9.0356169392623656E-3</v>
      </c>
      <c r="AZ18"/>
    </row>
    <row r="19" spans="1:53" ht="10.25" customHeight="1" thickBot="1">
      <c r="A19" s="14"/>
      <c r="B19" s="141"/>
      <c r="C19" s="7"/>
      <c r="D19" s="7"/>
      <c r="E19" s="7"/>
      <c r="F19" s="142"/>
      <c r="G19" s="143"/>
      <c r="H19" s="7"/>
      <c r="I19" s="7"/>
      <c r="J19" s="7"/>
      <c r="K19" s="7"/>
      <c r="L19" s="172"/>
      <c r="M19" s="7"/>
      <c r="N19" s="144"/>
      <c r="O19" s="6"/>
      <c r="P19" s="14"/>
      <c r="Q19" s="321"/>
      <c r="R19" s="236">
        <f>AZ5</f>
        <v>0.32539584917159114</v>
      </c>
      <c r="S19" s="236">
        <f>AY4</f>
        <v>0.56272869303125006</v>
      </c>
      <c r="T19" s="320">
        <f>R19+S19</f>
        <v>0.88812454220284121</v>
      </c>
      <c r="U19" s="320"/>
      <c r="V19" s="322">
        <f>T19/(Elie!Q36/Elie!D16)</f>
        <v>2.4793476803162649E-3</v>
      </c>
      <c r="W19" s="323"/>
      <c r="X19" s="14"/>
      <c r="Y19" s="14"/>
      <c r="Z19" s="14"/>
      <c r="AA19" s="14"/>
      <c r="AB19" s="14"/>
      <c r="AC19" s="14"/>
      <c r="AD19" s="14"/>
      <c r="AE19" s="14"/>
      <c r="AF19" s="14"/>
      <c r="AG19" s="14"/>
      <c r="AH19" s="14"/>
      <c r="AI19" s="14"/>
      <c r="AJ19" s="14"/>
      <c r="AK19" s="14"/>
      <c r="AL19" s="14"/>
      <c r="AM19" s="14"/>
      <c r="AN19" s="14"/>
      <c r="AO19" s="14"/>
      <c r="AP19" s="14"/>
      <c r="AR19">
        <f>IF(AR18&lt;$D$14,AR18+1,"")</f>
        <v>15</v>
      </c>
      <c r="AS19" s="85">
        <f>IF(ISNUMBER(AR19),AV18,0)</f>
        <v>72</v>
      </c>
      <c r="AT19" s="85"/>
      <c r="AU19" s="85">
        <f t="shared" si="2"/>
        <v>7.2</v>
      </c>
      <c r="AV19" s="85">
        <f t="shared" si="6"/>
        <v>72</v>
      </c>
      <c r="AW19">
        <f t="shared" si="7"/>
        <v>7.2</v>
      </c>
      <c r="AX19" s="86">
        <f t="shared" si="0"/>
        <v>2.4870030074646721E-2</v>
      </c>
      <c r="AY19">
        <f t="shared" si="4"/>
        <v>8.4052250597789445E-3</v>
      </c>
      <c r="AZ19"/>
    </row>
    <row r="20" spans="1:53" ht="9.5" customHeight="1" thickBot="1">
      <c r="A20" s="14"/>
      <c r="B20" s="14"/>
      <c r="C20" s="14"/>
      <c r="D20" s="14"/>
      <c r="E20" s="14"/>
      <c r="F20" s="14"/>
      <c r="G20" s="14"/>
      <c r="H20" s="14"/>
      <c r="I20" s="14"/>
      <c r="J20" s="14"/>
      <c r="K20" s="14"/>
      <c r="L20" s="14"/>
      <c r="M20" s="14"/>
      <c r="N20" s="14"/>
      <c r="O20" s="14"/>
      <c r="P20" s="14"/>
      <c r="Q20" s="6"/>
      <c r="R20" s="6"/>
      <c r="S20" s="6"/>
      <c r="T20" s="6"/>
      <c r="U20" s="6"/>
      <c r="V20" s="6"/>
      <c r="W20" s="6"/>
      <c r="X20" s="14"/>
      <c r="Y20" s="14"/>
      <c r="Z20" s="14"/>
      <c r="AA20" s="14"/>
      <c r="AB20" s="14"/>
      <c r="AC20" s="14"/>
      <c r="AD20" s="14"/>
      <c r="AE20" s="14"/>
      <c r="AF20" s="14"/>
      <c r="AG20" s="14"/>
      <c r="AH20" s="14"/>
      <c r="AI20" s="14"/>
      <c r="AJ20" s="14"/>
      <c r="AK20" s="14"/>
      <c r="AL20" s="14"/>
      <c r="AM20" s="14"/>
      <c r="AN20" s="14"/>
      <c r="AO20" s="14"/>
      <c r="AP20" s="14"/>
      <c r="AR20">
        <f t="shared" si="1"/>
        <v>16</v>
      </c>
      <c r="AS20" s="85">
        <f t="shared" si="5"/>
        <v>72</v>
      </c>
      <c r="AT20" s="85"/>
      <c r="AU20" s="85">
        <f t="shared" si="2"/>
        <v>7.2</v>
      </c>
      <c r="AV20" s="85">
        <f t="shared" si="6"/>
        <v>72</v>
      </c>
      <c r="AW20">
        <f t="shared" si="7"/>
        <v>7.2</v>
      </c>
      <c r="AX20" s="86">
        <f t="shared" si="0"/>
        <v>2.4870030074646721E-2</v>
      </c>
      <c r="AY20">
        <f t="shared" si="4"/>
        <v>7.8188140090966925E-3</v>
      </c>
      <c r="AZ20"/>
    </row>
    <row r="21" spans="1:53" ht="10.25" customHeight="1">
      <c r="A21" s="14"/>
      <c r="B21" s="14"/>
      <c r="C21" s="14"/>
      <c r="D21" s="14"/>
      <c r="E21" s="6"/>
      <c r="F21" s="384" t="s">
        <v>34</v>
      </c>
      <c r="G21" s="28" t="s">
        <v>33</v>
      </c>
      <c r="H21" s="29"/>
      <c r="I21" s="30">
        <f>T9</f>
        <v>2.4716111916986996E-2</v>
      </c>
      <c r="J21" s="31"/>
      <c r="K21" s="31"/>
      <c r="L21" s="31"/>
      <c r="M21" s="31"/>
      <c r="N21" s="32"/>
      <c r="O21" s="36"/>
      <c r="P21" s="6"/>
      <c r="Q21" s="181"/>
      <c r="R21" s="381" t="s">
        <v>301</v>
      </c>
      <c r="S21" s="382"/>
      <c r="T21" s="96"/>
      <c r="U21" s="377" t="s">
        <v>37</v>
      </c>
      <c r="V21" s="377"/>
      <c r="W21" s="378"/>
      <c r="X21" s="14"/>
      <c r="Y21" s="14"/>
      <c r="Z21" s="14"/>
      <c r="AA21" s="14"/>
      <c r="AB21" s="14"/>
      <c r="AC21" s="14"/>
      <c r="AD21" s="14"/>
      <c r="AE21" s="14"/>
      <c r="AF21" s="14"/>
      <c r="AG21" s="14"/>
      <c r="AH21" s="14"/>
      <c r="AI21" s="14"/>
      <c r="AJ21" s="14"/>
      <c r="AK21" s="14"/>
      <c r="AL21" s="14"/>
      <c r="AM21" s="14"/>
      <c r="AN21" s="14"/>
      <c r="AO21" s="14"/>
      <c r="AP21" s="14"/>
      <c r="AR21">
        <f t="shared" si="1"/>
        <v>17</v>
      </c>
      <c r="AS21" s="85">
        <f t="shared" si="5"/>
        <v>72</v>
      </c>
      <c r="AT21" s="85"/>
      <c r="AU21" s="85">
        <f t="shared" si="2"/>
        <v>7.2</v>
      </c>
      <c r="AV21" s="85">
        <f t="shared" si="6"/>
        <v>72</v>
      </c>
      <c r="AW21">
        <f t="shared" si="7"/>
        <v>7.2</v>
      </c>
      <c r="AX21" s="86">
        <f t="shared" si="0"/>
        <v>2.4870030074646721E-2</v>
      </c>
      <c r="AY21">
        <f t="shared" si="4"/>
        <v>7.2733153572992499E-3</v>
      </c>
      <c r="AZ21"/>
    </row>
    <row r="22" spans="1:53" ht="12" customHeight="1" thickBot="1">
      <c r="A22" s="14"/>
      <c r="B22" s="14"/>
      <c r="C22" s="14"/>
      <c r="D22" s="14"/>
      <c r="E22" s="6"/>
      <c r="F22" s="368"/>
      <c r="G22" s="33" t="s">
        <v>32</v>
      </c>
      <c r="H22" s="34"/>
      <c r="I22" s="35">
        <f>T10</f>
        <v>2.381169645376582E-2</v>
      </c>
      <c r="J22" s="36"/>
      <c r="K22" s="36"/>
      <c r="L22" s="36"/>
      <c r="M22" s="36"/>
      <c r="N22" s="37"/>
      <c r="O22" s="36"/>
      <c r="P22" s="6"/>
      <c r="Q22" s="193"/>
      <c r="R22" s="309"/>
      <c r="S22" s="383"/>
      <c r="T22" s="97"/>
      <c r="U22" s="379"/>
      <c r="V22" s="379"/>
      <c r="W22" s="380"/>
      <c r="X22" s="14"/>
      <c r="Y22" s="83"/>
      <c r="Z22" s="14"/>
      <c r="AA22" s="14"/>
      <c r="AB22" s="14"/>
      <c r="AC22" s="14"/>
      <c r="AD22" s="14"/>
      <c r="AE22" s="14"/>
      <c r="AF22" s="14"/>
      <c r="AG22" s="14"/>
      <c r="AH22" s="14"/>
      <c r="AI22" s="14"/>
      <c r="AJ22" s="14"/>
      <c r="AK22" s="14"/>
      <c r="AL22" s="14"/>
      <c r="AM22" s="14"/>
      <c r="AN22" s="14"/>
      <c r="AO22" s="14"/>
      <c r="AP22" s="14"/>
      <c r="AR22">
        <f t="shared" si="1"/>
        <v>18</v>
      </c>
      <c r="AS22" s="85">
        <f t="shared" si="5"/>
        <v>72</v>
      </c>
      <c r="AT22" s="85"/>
      <c r="AU22" s="85">
        <f t="shared" si="2"/>
        <v>7.2</v>
      </c>
      <c r="AV22" s="85">
        <f t="shared" si="6"/>
        <v>72</v>
      </c>
      <c r="AW22">
        <f t="shared" si="7"/>
        <v>7.2</v>
      </c>
      <c r="AX22" s="86">
        <f t="shared" si="0"/>
        <v>2.4870030074646721E-2</v>
      </c>
      <c r="AY22">
        <f t="shared" si="4"/>
        <v>6.7658747509760468E-3</v>
      </c>
      <c r="AZ22"/>
    </row>
    <row r="23" spans="1:53" ht="10.75" customHeight="1">
      <c r="A23" s="14"/>
      <c r="B23" s="313" t="s">
        <v>234</v>
      </c>
      <c r="C23" s="349"/>
      <c r="D23" s="349"/>
      <c r="E23" s="349"/>
      <c r="F23" s="368"/>
      <c r="G23" s="33" t="s">
        <v>210</v>
      </c>
      <c r="H23" s="34"/>
      <c r="I23" s="35">
        <f>T11</f>
        <v>1.0872016364700218E-2</v>
      </c>
      <c r="J23" s="36"/>
      <c r="K23" s="36"/>
      <c r="L23" s="36"/>
      <c r="M23" s="36"/>
      <c r="N23" s="37"/>
      <c r="O23" s="36"/>
      <c r="P23" s="6"/>
      <c r="Q23" s="181"/>
      <c r="R23" s="84" t="s">
        <v>44</v>
      </c>
      <c r="S23" s="46">
        <f>W24/W23</f>
        <v>3.3274648436430136</v>
      </c>
      <c r="T23" s="98"/>
      <c r="U23" s="45" t="s">
        <v>38</v>
      </c>
      <c r="V23" s="45"/>
      <c r="W23" s="47">
        <f>(R36/S36)*T5</f>
        <v>24.787383882138887</v>
      </c>
      <c r="X23" s="14"/>
      <c r="Y23" s="83"/>
      <c r="Z23" s="14"/>
      <c r="AA23" s="14"/>
      <c r="AB23" s="14"/>
      <c r="AC23" s="14"/>
      <c r="AD23" s="14"/>
      <c r="AE23" s="14"/>
      <c r="AF23" s="14"/>
      <c r="AG23" s="14"/>
      <c r="AH23" s="14"/>
      <c r="AI23" s="14"/>
      <c r="AJ23" s="14"/>
      <c r="AK23" s="14"/>
      <c r="AL23" s="14"/>
      <c r="AM23" s="14"/>
      <c r="AN23" s="14"/>
      <c r="AO23" s="14"/>
      <c r="AP23" s="14"/>
      <c r="AR23">
        <f t="shared" si="1"/>
        <v>19</v>
      </c>
      <c r="AS23" s="85">
        <f t="shared" si="5"/>
        <v>72</v>
      </c>
      <c r="AT23" s="85"/>
      <c r="AU23" s="85">
        <f t="shared" si="2"/>
        <v>7.2</v>
      </c>
      <c r="AV23" s="85">
        <f t="shared" si="6"/>
        <v>72</v>
      </c>
      <c r="AW23">
        <f t="shared" si="7"/>
        <v>7.2</v>
      </c>
      <c r="AX23" s="86">
        <f t="shared" si="0"/>
        <v>2.4870030074646721E-2</v>
      </c>
      <c r="AY23">
        <f t="shared" si="4"/>
        <v>6.293836977652136E-3</v>
      </c>
      <c r="AZ23"/>
    </row>
    <row r="24" spans="1:53" ht="12.5" customHeight="1" thickBot="1">
      <c r="A24" s="14"/>
      <c r="B24" s="350"/>
      <c r="C24" s="351"/>
      <c r="D24" s="351"/>
      <c r="E24" s="351"/>
      <c r="F24" s="368"/>
      <c r="G24" s="33" t="s">
        <v>14</v>
      </c>
      <c r="H24" s="34"/>
      <c r="I24" s="35">
        <f>Elie!V19</f>
        <v>2.4793476803162649E-3</v>
      </c>
      <c r="J24" s="36"/>
      <c r="K24" s="36"/>
      <c r="L24" s="36"/>
      <c r="M24" s="36"/>
      <c r="N24" s="37"/>
      <c r="O24" s="36"/>
      <c r="P24" s="6"/>
      <c r="Q24" s="193"/>
      <c r="R24" s="84" t="s">
        <v>32</v>
      </c>
      <c r="S24" s="46">
        <f>W25/W23</f>
        <v>3.2057057794332722</v>
      </c>
      <c r="T24" s="98"/>
      <c r="U24" s="45" t="s">
        <v>39</v>
      </c>
      <c r="V24" s="45"/>
      <c r="W24" s="47">
        <f>T9*R36</f>
        <v>82.47914843370063</v>
      </c>
      <c r="X24" s="14"/>
      <c r="Y24" s="6"/>
      <c r="Z24" s="14"/>
      <c r="AA24" s="14"/>
      <c r="AB24" s="14"/>
      <c r="AC24" s="14"/>
      <c r="AD24" s="14"/>
      <c r="AE24" s="14"/>
      <c r="AF24" s="14"/>
      <c r="AG24" s="14"/>
      <c r="AH24" s="14"/>
      <c r="AI24" s="14"/>
      <c r="AJ24" s="14"/>
      <c r="AK24" s="14"/>
      <c r="AL24" s="14"/>
      <c r="AM24" s="14"/>
      <c r="AN24" s="14"/>
      <c r="AO24" s="14"/>
      <c r="AP24" s="14"/>
      <c r="AR24">
        <f t="shared" si="1"/>
        <v>20</v>
      </c>
      <c r="AS24" s="85">
        <f t="shared" si="5"/>
        <v>72</v>
      </c>
      <c r="AT24" s="85"/>
      <c r="AU24" s="85">
        <f t="shared" si="2"/>
        <v>7.2</v>
      </c>
      <c r="AV24" s="85">
        <f t="shared" si="6"/>
        <v>72</v>
      </c>
      <c r="AW24">
        <f>IF(ISNUMBER(AR25),SUM(AT24:AU24),SUM(AT24:AV24))</f>
        <v>7.2</v>
      </c>
      <c r="AX24" s="86">
        <f t="shared" si="0"/>
        <v>2.4870030074646721E-2</v>
      </c>
      <c r="AY24">
        <f t="shared" si="4"/>
        <v>5.8547320722345461E-3</v>
      </c>
      <c r="AZ24"/>
    </row>
    <row r="25" spans="1:53" ht="14.5" customHeight="1">
      <c r="A25" s="14"/>
      <c r="B25" s="350"/>
      <c r="C25" s="351"/>
      <c r="D25" s="351"/>
      <c r="E25" s="351"/>
      <c r="F25" s="38" t="s">
        <v>48</v>
      </c>
      <c r="G25" s="39"/>
      <c r="H25" s="39"/>
      <c r="I25" s="40">
        <f>Elie!V19*J36</f>
        <v>0.70889508875602647</v>
      </c>
      <c r="J25" s="36"/>
      <c r="K25" s="36"/>
      <c r="L25" s="36"/>
      <c r="M25" s="36"/>
      <c r="N25" s="37"/>
      <c r="O25" s="36"/>
      <c r="P25" s="6"/>
      <c r="Q25" s="372" t="s">
        <v>235</v>
      </c>
      <c r="R25" s="84" t="s">
        <v>210</v>
      </c>
      <c r="S25" s="46">
        <f>W27/W23</f>
        <v>1.4636708376525891</v>
      </c>
      <c r="T25" s="22"/>
      <c r="U25" s="45" t="s">
        <v>32</v>
      </c>
      <c r="V25" s="45"/>
      <c r="W25" s="47">
        <f>T10*R36</f>
        <v>79.461059768003764</v>
      </c>
      <c r="X25" s="6"/>
      <c r="Y25" s="6"/>
      <c r="Z25" s="14"/>
      <c r="AA25" s="14"/>
      <c r="AB25" s="14"/>
      <c r="AC25" s="14"/>
      <c r="AD25" s="14"/>
      <c r="AE25" s="14"/>
      <c r="AF25" s="14"/>
      <c r="AG25" s="14"/>
      <c r="AH25" s="14"/>
      <c r="AI25" s="14"/>
      <c r="AJ25" s="14"/>
      <c r="AK25" s="14"/>
      <c r="AL25" s="14"/>
      <c r="AM25" s="14"/>
      <c r="AN25" s="14"/>
      <c r="AO25" s="14"/>
      <c r="AP25" s="14"/>
      <c r="AR25">
        <f>IF(AR24&lt;$D$14,AR24+1,"")</f>
        <v>21</v>
      </c>
      <c r="AS25" s="85">
        <f>IF(ISNUMBER(AR25),AV24,0)</f>
        <v>72</v>
      </c>
      <c r="AT25" s="85"/>
      <c r="AU25" s="85">
        <f t="shared" si="2"/>
        <v>7.2</v>
      </c>
      <c r="AV25" s="85">
        <f t="shared" si="6"/>
        <v>72</v>
      </c>
      <c r="AW25">
        <f t="shared" si="7"/>
        <v>7.2</v>
      </c>
      <c r="AX25" s="86">
        <f t="shared" si="0"/>
        <v>2.4870030074646721E-2</v>
      </c>
      <c r="AY25">
        <f t="shared" si="4"/>
        <v>5.4462623927763213E-3</v>
      </c>
      <c r="AZ25"/>
    </row>
    <row r="26" spans="1:53" ht="12" customHeight="1" thickBot="1">
      <c r="A26" s="14"/>
      <c r="B26" s="315"/>
      <c r="C26" s="352"/>
      <c r="D26" s="352"/>
      <c r="E26" s="352"/>
      <c r="F26" s="15"/>
      <c r="G26" s="6"/>
      <c r="H26" s="6"/>
      <c r="I26" s="6"/>
      <c r="J26" s="6"/>
      <c r="K26" s="6"/>
      <c r="L26" s="6"/>
      <c r="M26" s="6"/>
      <c r="N26" s="12"/>
      <c r="O26" s="36"/>
      <c r="P26" s="6"/>
      <c r="Q26" s="373"/>
      <c r="R26" s="15"/>
      <c r="S26" s="6"/>
      <c r="T26" s="6"/>
      <c r="U26" s="45" t="s">
        <v>14</v>
      </c>
      <c r="V26" s="45"/>
      <c r="W26" s="47">
        <f>V19*R36</f>
        <v>8.2737319700761951</v>
      </c>
      <c r="X26" s="14"/>
      <c r="Y26" s="14"/>
      <c r="Z26" s="14"/>
      <c r="AA26" s="14"/>
      <c r="AB26" s="14"/>
      <c r="AC26" s="14"/>
      <c r="AD26" s="14"/>
      <c r="AE26" s="14"/>
      <c r="AF26" s="14"/>
      <c r="AG26" s="14"/>
      <c r="AH26" s="14"/>
      <c r="AI26" s="14"/>
      <c r="AJ26" s="14"/>
      <c r="AK26" s="14"/>
      <c r="AL26" s="14"/>
      <c r="AM26" s="14"/>
      <c r="AN26" s="14"/>
      <c r="AO26" s="14"/>
      <c r="AP26" s="14"/>
      <c r="AR26">
        <f t="shared" si="1"/>
        <v>22</v>
      </c>
      <c r="AS26" s="85">
        <f t="shared" si="5"/>
        <v>72</v>
      </c>
      <c r="AT26" s="85"/>
      <c r="AU26" s="85">
        <f t="shared" si="2"/>
        <v>7.2</v>
      </c>
      <c r="AV26" s="85">
        <f t="shared" si="6"/>
        <v>72</v>
      </c>
      <c r="AW26">
        <f t="shared" si="7"/>
        <v>7.2</v>
      </c>
      <c r="AX26" s="86">
        <f t="shared" si="0"/>
        <v>2.4870030074646721E-2</v>
      </c>
      <c r="AY26">
        <f t="shared" si="4"/>
        <v>5.0662905979314615E-3</v>
      </c>
      <c r="AZ26"/>
    </row>
    <row r="27" spans="1:53" ht="12.5" customHeight="1">
      <c r="A27" s="14"/>
      <c r="B27" s="14"/>
      <c r="C27" s="14"/>
      <c r="D27" s="14"/>
      <c r="E27" s="6"/>
      <c r="F27" s="41" t="s">
        <v>41</v>
      </c>
      <c r="G27" s="42">
        <f>I21/I24</f>
        <v>9.9687962737982012</v>
      </c>
      <c r="H27" s="43" t="s">
        <v>42</v>
      </c>
      <c r="I27" s="39"/>
      <c r="J27" s="39"/>
      <c r="K27" s="39"/>
      <c r="L27" s="39"/>
      <c r="M27" s="39"/>
      <c r="N27" s="44"/>
      <c r="O27" s="36"/>
      <c r="P27" s="6"/>
      <c r="Q27" s="373"/>
      <c r="R27" s="15"/>
      <c r="S27" s="6"/>
      <c r="T27" s="6"/>
      <c r="U27" s="45" t="s">
        <v>210</v>
      </c>
      <c r="V27" s="45"/>
      <c r="W27" s="47">
        <f>T11*R36</f>
        <v>36.28057092998651</v>
      </c>
      <c r="X27" s="14"/>
      <c r="Y27" s="14"/>
      <c r="Z27" s="14"/>
      <c r="AA27" s="14"/>
      <c r="AB27" s="14"/>
      <c r="AC27" s="14"/>
      <c r="AD27" s="14"/>
      <c r="AE27" s="14"/>
      <c r="AF27" s="14"/>
      <c r="AG27" s="14"/>
      <c r="AH27" s="14"/>
      <c r="AI27" s="14"/>
      <c r="AJ27" s="14"/>
      <c r="AK27" s="14"/>
      <c r="AL27" s="14"/>
      <c r="AM27" s="14"/>
      <c r="AN27" s="14"/>
      <c r="AO27" s="14"/>
      <c r="AP27" s="14"/>
      <c r="AR27">
        <f t="shared" si="1"/>
        <v>23</v>
      </c>
      <c r="AS27" s="85">
        <f t="shared" si="5"/>
        <v>72</v>
      </c>
      <c r="AT27" s="85"/>
      <c r="AU27" s="85">
        <f t="shared" si="2"/>
        <v>7.2</v>
      </c>
      <c r="AV27" s="85">
        <f t="shared" si="6"/>
        <v>72</v>
      </c>
      <c r="AW27">
        <f t="shared" si="7"/>
        <v>7.2</v>
      </c>
      <c r="AX27" s="86">
        <f t="shared" si="0"/>
        <v>2.4870030074646721E-2</v>
      </c>
      <c r="AY27">
        <f t="shared" si="4"/>
        <v>4.7128284631920573E-3</v>
      </c>
      <c r="AZ27" s="117"/>
      <c r="BA27" s="14"/>
    </row>
    <row r="28" spans="1:53" s="14" customFormat="1" ht="14.5" customHeight="1" thickBot="1">
      <c r="E28" s="6"/>
      <c r="F28" s="41" t="s">
        <v>43</v>
      </c>
      <c r="G28" s="42">
        <f>I22/I24</f>
        <v>9.6040166705173053</v>
      </c>
      <c r="H28" s="43" t="s">
        <v>42</v>
      </c>
      <c r="I28" s="39"/>
      <c r="J28" s="39"/>
      <c r="K28" s="39"/>
      <c r="L28" s="39"/>
      <c r="M28" s="39"/>
      <c r="N28" s="44"/>
      <c r="O28" s="36"/>
      <c r="P28" s="6"/>
      <c r="Q28" s="374"/>
      <c r="R28" s="15"/>
      <c r="S28" s="6"/>
      <c r="T28" s="6"/>
      <c r="U28" s="6"/>
      <c r="V28" s="6"/>
      <c r="W28" s="12"/>
      <c r="AR28">
        <f t="shared" si="1"/>
        <v>24</v>
      </c>
      <c r="AS28" s="85">
        <f t="shared" si="5"/>
        <v>72</v>
      </c>
      <c r="AT28" s="85"/>
      <c r="AU28" s="85">
        <f t="shared" si="2"/>
        <v>7.2</v>
      </c>
      <c r="AV28" s="85">
        <f t="shared" si="6"/>
        <v>72</v>
      </c>
      <c r="AW28">
        <f t="shared" si="7"/>
        <v>7.2</v>
      </c>
      <c r="AX28" s="86">
        <f t="shared" si="0"/>
        <v>2.4870030074646721E-2</v>
      </c>
      <c r="AY28">
        <f t="shared" si="4"/>
        <v>4.3840264773879608E-3</v>
      </c>
      <c r="AZ28"/>
      <c r="BA28" s="1"/>
    </row>
    <row r="29" spans="1:53" ht="13.75" customHeight="1">
      <c r="A29" s="14"/>
      <c r="B29" s="14"/>
      <c r="C29" s="14"/>
      <c r="D29" s="14"/>
      <c r="E29" s="6"/>
      <c r="F29" s="41" t="s">
        <v>228</v>
      </c>
      <c r="G29" s="42">
        <f>I23/I24</f>
        <v>4.3850309704500123</v>
      </c>
      <c r="H29" s="43" t="s">
        <v>42</v>
      </c>
      <c r="I29" s="39"/>
      <c r="J29" s="39"/>
      <c r="K29" s="39"/>
      <c r="L29" s="39"/>
      <c r="M29" s="39"/>
      <c r="N29" s="44"/>
      <c r="O29" s="36"/>
      <c r="P29" s="6"/>
      <c r="Q29" s="193"/>
      <c r="R29" s="375" t="s">
        <v>231</v>
      </c>
      <c r="S29" s="376"/>
      <c r="T29" s="376"/>
      <c r="U29" s="376"/>
      <c r="V29" s="376"/>
      <c r="W29" s="100">
        <f>W24-W23</f>
        <v>57.691764551561747</v>
      </c>
      <c r="X29" s="14"/>
      <c r="Y29" s="14"/>
      <c r="Z29" s="14"/>
      <c r="AA29" s="14"/>
      <c r="AB29" s="14"/>
      <c r="AC29" s="14"/>
      <c r="AD29" s="14"/>
      <c r="AE29" s="14"/>
      <c r="AF29" s="14"/>
      <c r="AG29" s="14"/>
      <c r="AH29" s="14"/>
      <c r="AI29" s="14"/>
      <c r="AJ29" s="14"/>
      <c r="AK29" s="14"/>
      <c r="AL29" s="14"/>
      <c r="AM29" s="14"/>
      <c r="AN29" s="14"/>
      <c r="AO29" s="14"/>
      <c r="AP29" s="14"/>
      <c r="AR29">
        <f t="shared" si="1"/>
        <v>25</v>
      </c>
      <c r="AS29" s="85">
        <f t="shared" si="5"/>
        <v>72</v>
      </c>
      <c r="AT29" s="85"/>
      <c r="AU29" s="85">
        <f t="shared" si="2"/>
        <v>7.2</v>
      </c>
      <c r="AV29" s="85">
        <f t="shared" si="6"/>
        <v>72</v>
      </c>
      <c r="AW29">
        <f t="shared" si="7"/>
        <v>7.2</v>
      </c>
      <c r="AX29" s="86">
        <f t="shared" si="0"/>
        <v>2.4870030074646721E-2</v>
      </c>
      <c r="AY29">
        <f t="shared" si="4"/>
        <v>4.0781641650120565E-3</v>
      </c>
      <c r="AZ29"/>
    </row>
    <row r="30" spans="1:53" ht="13.25" customHeight="1">
      <c r="A30" s="14"/>
      <c r="B30" s="14"/>
      <c r="C30" s="14"/>
      <c r="D30" s="14"/>
      <c r="E30" s="6"/>
      <c r="F30" s="15"/>
      <c r="G30" s="6"/>
      <c r="H30" s="6"/>
      <c r="I30" s="6"/>
      <c r="J30" s="36"/>
      <c r="K30" s="36"/>
      <c r="L30" s="36"/>
      <c r="M30" s="36"/>
      <c r="N30" s="37"/>
      <c r="O30" s="36"/>
      <c r="P30" s="6"/>
      <c r="Q30" s="193"/>
      <c r="R30" s="375" t="s">
        <v>230</v>
      </c>
      <c r="S30" s="376"/>
      <c r="T30" s="376"/>
      <c r="U30" s="376"/>
      <c r="V30" s="376"/>
      <c r="W30" s="100">
        <f>W25-W23</f>
        <v>54.673675885864881</v>
      </c>
      <c r="X30" s="14"/>
      <c r="Y30" s="14"/>
      <c r="Z30" s="14"/>
      <c r="AA30" s="14"/>
      <c r="AB30" s="14"/>
      <c r="AC30" s="14"/>
      <c r="AD30" s="14"/>
      <c r="AE30" s="14"/>
      <c r="AF30" s="14"/>
      <c r="AG30" s="14"/>
      <c r="AH30" s="14"/>
      <c r="AI30" s="14"/>
      <c r="AJ30" s="14"/>
      <c r="AK30" s="14"/>
      <c r="AL30" s="14"/>
      <c r="AM30" s="14"/>
      <c r="AN30" s="14"/>
      <c r="AO30" s="14"/>
      <c r="AP30" s="14"/>
      <c r="AR30">
        <f t="shared" si="1"/>
        <v>26</v>
      </c>
      <c r="AS30" s="85">
        <f t="shared" si="5"/>
        <v>72</v>
      </c>
      <c r="AT30" s="85"/>
      <c r="AU30" s="85">
        <f t="shared" si="2"/>
        <v>7.2</v>
      </c>
      <c r="AV30" s="85">
        <f t="shared" si="6"/>
        <v>72</v>
      </c>
      <c r="AW30">
        <f>IF(ISNUMBER(AR33),SUM(AT30:AU30),SUM(AT30:AV30))</f>
        <v>7.2</v>
      </c>
      <c r="AX30" s="86">
        <f t="shared" si="0"/>
        <v>2.4870030074646721E-2</v>
      </c>
      <c r="AY30">
        <f t="shared" si="4"/>
        <v>3.7936410837321466E-3</v>
      </c>
      <c r="AZ30"/>
    </row>
    <row r="31" spans="1:53" ht="13.25" customHeight="1" thickBot="1">
      <c r="A31" s="14"/>
      <c r="B31" s="14"/>
      <c r="C31" s="14"/>
      <c r="D31" s="14"/>
      <c r="E31" s="6"/>
      <c r="F31" s="368" t="s">
        <v>184</v>
      </c>
      <c r="G31" s="33" t="s">
        <v>33</v>
      </c>
      <c r="H31" s="34"/>
      <c r="I31" s="40">
        <f>1000/V14</f>
        <v>2905.519550246127</v>
      </c>
      <c r="J31" s="36"/>
      <c r="K31" s="36"/>
      <c r="L31" s="36"/>
      <c r="M31" s="36"/>
      <c r="N31" s="37"/>
      <c r="O31" s="36"/>
      <c r="P31" s="6"/>
      <c r="Q31" s="194"/>
      <c r="R31" s="370" t="s">
        <v>229</v>
      </c>
      <c r="S31" s="371"/>
      <c r="T31" s="371"/>
      <c r="U31" s="371"/>
      <c r="V31" s="371"/>
      <c r="W31" s="101">
        <f>W27-W23</f>
        <v>11.493187047847623</v>
      </c>
      <c r="X31" s="14"/>
      <c r="Y31" s="14"/>
      <c r="Z31" s="14"/>
      <c r="AA31" s="14"/>
      <c r="AB31" s="14"/>
      <c r="AC31" s="14"/>
      <c r="AD31" s="14"/>
      <c r="AE31" s="14"/>
      <c r="AF31" s="14"/>
      <c r="AG31" s="14"/>
      <c r="AH31" s="14"/>
      <c r="AI31" s="14"/>
      <c r="AJ31" s="14"/>
      <c r="AK31" s="14"/>
      <c r="AL31" s="14"/>
      <c r="AM31" s="14"/>
      <c r="AN31" s="14"/>
      <c r="AO31" s="14"/>
      <c r="AP31" s="14"/>
      <c r="AR31"/>
      <c r="AS31" s="85"/>
      <c r="AT31" s="85"/>
      <c r="AU31" s="85"/>
      <c r="AV31" s="85"/>
      <c r="AW31"/>
      <c r="AX31" s="86"/>
      <c r="AY31"/>
      <c r="AZ31"/>
    </row>
    <row r="32" spans="1:53" ht="13.25" customHeight="1">
      <c r="A32" s="14"/>
      <c r="B32" s="14"/>
      <c r="C32" s="14"/>
      <c r="D32" s="14"/>
      <c r="E32" s="6"/>
      <c r="F32" s="368"/>
      <c r="G32" s="33" t="s">
        <v>32</v>
      </c>
      <c r="H32" s="34"/>
      <c r="I32" s="40">
        <f>1000/V15</f>
        <v>3048.796626652244</v>
      </c>
      <c r="J32" s="36"/>
      <c r="K32" s="36"/>
      <c r="L32" s="36"/>
      <c r="M32" s="36"/>
      <c r="N32" s="37"/>
      <c r="O32" s="36"/>
      <c r="P32" s="6"/>
      <c r="Q32" s="114"/>
      <c r="R32" s="115"/>
      <c r="S32" s="115"/>
      <c r="T32" s="115"/>
      <c r="U32" s="115"/>
      <c r="V32" s="115"/>
      <c r="W32" s="116"/>
      <c r="X32" s="14"/>
      <c r="Y32" s="14"/>
      <c r="Z32" s="14"/>
      <c r="AA32" s="14"/>
      <c r="AB32" s="14"/>
      <c r="AC32" s="14"/>
      <c r="AD32" s="14"/>
      <c r="AE32" s="14"/>
      <c r="AF32" s="14"/>
      <c r="AG32" s="14"/>
      <c r="AH32" s="14"/>
      <c r="AI32" s="14"/>
      <c r="AJ32" s="14"/>
      <c r="AK32" s="14"/>
      <c r="AL32" s="14"/>
      <c r="AM32" s="14"/>
      <c r="AN32" s="14"/>
      <c r="AO32" s="14"/>
      <c r="AP32" s="14"/>
      <c r="AR32"/>
      <c r="AS32" s="85"/>
      <c r="AT32" s="85"/>
      <c r="AU32" s="85"/>
      <c r="AV32" s="85"/>
      <c r="AW32"/>
      <c r="AX32" s="86"/>
      <c r="AY32"/>
      <c r="AZ32"/>
    </row>
    <row r="33" spans="1:52" ht="13.75" customHeight="1" thickBot="1">
      <c r="A33" s="14"/>
      <c r="B33" s="14"/>
      <c r="C33" s="14"/>
      <c r="D33" s="14"/>
      <c r="E33" s="14"/>
      <c r="F33" s="369"/>
      <c r="G33" s="118" t="s">
        <v>210</v>
      </c>
      <c r="H33" s="119"/>
      <c r="I33" s="120">
        <f>1000/V16</f>
        <v>6369.4331657643725</v>
      </c>
      <c r="J33" s="7"/>
      <c r="K33" s="7"/>
      <c r="L33" s="7"/>
      <c r="M33" s="7"/>
      <c r="N33" s="182"/>
      <c r="O33" s="14"/>
      <c r="P33" s="14"/>
      <c r="Q33" s="114"/>
      <c r="R33" s="115"/>
      <c r="S33" s="115"/>
      <c r="T33" s="115"/>
      <c r="U33" s="115"/>
      <c r="V33" s="115"/>
      <c r="W33" s="116"/>
      <c r="X33" s="14"/>
      <c r="Y33" s="14"/>
      <c r="Z33" s="14"/>
      <c r="AA33" s="14"/>
      <c r="AB33" s="14"/>
      <c r="AC33" s="14"/>
      <c r="AD33" s="14"/>
      <c r="AE33" s="14"/>
      <c r="AF33" s="14"/>
      <c r="AG33" s="14"/>
      <c r="AH33" s="14"/>
      <c r="AI33" s="14"/>
      <c r="AJ33" s="14"/>
      <c r="AK33" s="14"/>
      <c r="AL33" s="14"/>
      <c r="AM33" s="14"/>
      <c r="AN33" s="14"/>
      <c r="AO33" s="14"/>
      <c r="AP33" s="14"/>
      <c r="AR33">
        <f>IF(AR30&lt;$D$14,AR30+1,"")</f>
        <v>27</v>
      </c>
      <c r="AS33" s="85">
        <f>IF(ISNUMBER(AR33),AV30,0)</f>
        <v>72</v>
      </c>
      <c r="AT33" s="85"/>
      <c r="AU33" s="85">
        <f t="shared" si="2"/>
        <v>7.2</v>
      </c>
      <c r="AV33" s="85">
        <f t="shared" si="6"/>
        <v>72</v>
      </c>
      <c r="AW33">
        <f t="shared" si="7"/>
        <v>7.2</v>
      </c>
      <c r="AX33" s="86">
        <f>LN(AW33+$J$36)-LN($J$36)</f>
        <v>2.4870030074646721E-2</v>
      </c>
      <c r="AY33">
        <f t="shared" si="4"/>
        <v>3.5289684499833916E-3</v>
      </c>
    </row>
    <row r="34" spans="1:52" ht="51" customHeight="1" thickBot="1">
      <c r="B34" s="14"/>
      <c r="C34" s="14"/>
      <c r="D34" s="14"/>
      <c r="E34" s="14"/>
      <c r="F34" s="14"/>
      <c r="G34" s="14"/>
      <c r="H34" s="14"/>
      <c r="I34" s="14"/>
      <c r="J34" s="14"/>
      <c r="K34" s="14"/>
      <c r="L34" s="14"/>
      <c r="M34" s="14"/>
      <c r="N34" s="14"/>
      <c r="O34" s="14"/>
      <c r="P34" s="14"/>
      <c r="Q34" s="114"/>
      <c r="R34" s="115"/>
      <c r="S34" s="115"/>
      <c r="T34" s="115"/>
      <c r="U34" s="115"/>
      <c r="V34" s="115"/>
      <c r="W34" s="116"/>
      <c r="X34" s="14"/>
      <c r="Y34" s="14"/>
      <c r="Z34" s="14"/>
      <c r="AA34" s="14"/>
      <c r="AB34" s="14"/>
      <c r="AC34" s="14"/>
      <c r="AD34" s="14"/>
      <c r="AE34" s="14"/>
      <c r="AF34" s="14"/>
      <c r="AG34" s="14"/>
      <c r="AH34" s="14"/>
      <c r="AI34" s="14"/>
      <c r="AJ34" s="14"/>
      <c r="AK34" s="14"/>
      <c r="AL34" s="14"/>
      <c r="AM34" s="14"/>
      <c r="AQ34"/>
      <c r="AR34">
        <f t="shared" si="1"/>
        <v>28</v>
      </c>
      <c r="AS34" s="85">
        <f t="shared" si="5"/>
        <v>72</v>
      </c>
      <c r="AT34" s="85"/>
      <c r="AU34" s="85">
        <f t="shared" si="2"/>
        <v>7.2</v>
      </c>
      <c r="AV34" s="85">
        <f t="shared" si="6"/>
        <v>72</v>
      </c>
      <c r="AW34">
        <f t="shared" si="7"/>
        <v>7.2</v>
      </c>
      <c r="AX34" s="86">
        <f>LN(AW34+$J$36)-LN($J$36)</f>
        <v>2.4870030074646721E-2</v>
      </c>
      <c r="AY34">
        <f t="shared" si="4"/>
        <v>3.28276134882176E-3</v>
      </c>
    </row>
    <row r="35" spans="1:52" ht="31.25" customHeight="1">
      <c r="A35" s="14"/>
      <c r="B35" s="327" t="s">
        <v>29</v>
      </c>
      <c r="C35" s="16"/>
      <c r="D35" s="330" t="s">
        <v>24</v>
      </c>
      <c r="E35" s="331"/>
      <c r="F35" s="332"/>
      <c r="G35" s="18" t="s">
        <v>16</v>
      </c>
      <c r="H35" s="341" t="s">
        <v>27</v>
      </c>
      <c r="I35" s="342"/>
      <c r="J35" s="330" t="s">
        <v>26</v>
      </c>
      <c r="K35" s="331"/>
      <c r="L35" s="331"/>
      <c r="M35" s="331"/>
      <c r="N35" s="332"/>
      <c r="O35" s="330" t="s">
        <v>17</v>
      </c>
      <c r="P35" s="332"/>
      <c r="Q35" s="231" t="s">
        <v>18</v>
      </c>
      <c r="R35" s="103" t="s">
        <v>178</v>
      </c>
      <c r="S35" s="213" t="s">
        <v>25</v>
      </c>
      <c r="T35" s="214"/>
      <c r="U35" s="103" t="s">
        <v>172</v>
      </c>
      <c r="V35" s="103" t="s">
        <v>222</v>
      </c>
      <c r="W35" s="111" t="s">
        <v>225</v>
      </c>
      <c r="X35" s="14"/>
      <c r="Y35" s="14"/>
      <c r="Z35" s="14"/>
      <c r="AA35" s="14"/>
      <c r="AB35" s="14"/>
      <c r="AC35" s="14"/>
      <c r="AD35" s="14"/>
      <c r="AE35" s="14"/>
      <c r="AF35" s="14"/>
      <c r="AG35" s="14"/>
      <c r="AH35" s="14"/>
      <c r="AI35" s="14"/>
      <c r="AJ35" s="14"/>
      <c r="AK35" s="14"/>
      <c r="AL35" s="14"/>
      <c r="AM35" s="14"/>
      <c r="AQ35"/>
      <c r="AR35">
        <f t="shared" si="1"/>
        <v>29</v>
      </c>
      <c r="AS35" s="85">
        <f t="shared" si="5"/>
        <v>72</v>
      </c>
      <c r="AT35" s="85"/>
      <c r="AU35" s="85">
        <f t="shared" si="2"/>
        <v>7.2</v>
      </c>
      <c r="AV35" s="85">
        <f t="shared" si="6"/>
        <v>72</v>
      </c>
      <c r="AW35">
        <f t="shared" si="7"/>
        <v>7.2</v>
      </c>
      <c r="AX35" s="86">
        <f>LN(AW35+$J$36)-LN($J$36)</f>
        <v>2.4870030074646721E-2</v>
      </c>
      <c r="AY35">
        <f t="shared" si="4"/>
        <v>3.0537314872760551E-3</v>
      </c>
      <c r="AZ35"/>
    </row>
    <row r="36" spans="1:52" ht="12" customHeight="1">
      <c r="A36" s="14"/>
      <c r="B36" s="328"/>
      <c r="C36" s="19" t="s">
        <v>20</v>
      </c>
      <c r="D36" s="333">
        <v>0.253</v>
      </c>
      <c r="E36" s="334"/>
      <c r="F36" s="335"/>
      <c r="G36" s="26">
        <v>2.41</v>
      </c>
      <c r="H36" s="336">
        <v>4.7</v>
      </c>
      <c r="I36" s="337"/>
      <c r="J36" s="338">
        <v>285.92</v>
      </c>
      <c r="K36" s="339"/>
      <c r="L36" s="339"/>
      <c r="M36" s="339"/>
      <c r="N36" s="340"/>
      <c r="O36" s="385">
        <v>1000</v>
      </c>
      <c r="P36" s="386"/>
      <c r="Q36" s="102">
        <v>288</v>
      </c>
      <c r="R36" s="104">
        <v>3337.06</v>
      </c>
      <c r="S36" s="204">
        <v>6.32</v>
      </c>
      <c r="T36" s="232"/>
      <c r="U36" s="185">
        <f>AVERAGE(36.46,36.59)</f>
        <v>36.525000000000006</v>
      </c>
      <c r="V36" s="185">
        <v>15</v>
      </c>
      <c r="W36" s="173">
        <v>0.43099999999999999</v>
      </c>
      <c r="X36" s="14"/>
      <c r="Y36" s="6"/>
      <c r="Z36" s="14"/>
      <c r="AA36" s="14"/>
      <c r="AB36" s="14"/>
      <c r="AC36" s="14"/>
      <c r="AD36" s="14"/>
      <c r="AE36" s="14"/>
      <c r="AF36" s="14"/>
      <c r="AG36" s="14"/>
      <c r="AH36" s="14"/>
      <c r="AI36" s="14"/>
      <c r="AJ36" s="14"/>
      <c r="AK36" s="14"/>
      <c r="AL36" s="14"/>
      <c r="AM36" s="14"/>
      <c r="AN36" s="14"/>
      <c r="AR36">
        <f t="shared" si="1"/>
        <v>30</v>
      </c>
      <c r="AS36" s="85">
        <f t="shared" si="5"/>
        <v>72</v>
      </c>
      <c r="AT36" s="85"/>
      <c r="AU36" s="85">
        <f t="shared" si="2"/>
        <v>7.2</v>
      </c>
      <c r="AV36" s="85">
        <f t="shared" si="6"/>
        <v>72</v>
      </c>
      <c r="AW36">
        <f t="shared" si="7"/>
        <v>7.2</v>
      </c>
      <c r="AX36" s="86">
        <f>LN(AW36+$J$36)-LN($J$36)</f>
        <v>2.4870030074646721E-2</v>
      </c>
      <c r="AY36">
        <f t="shared" si="4"/>
        <v>2.8406804532800519E-3</v>
      </c>
      <c r="AZ36"/>
    </row>
    <row r="37" spans="1:52" ht="12" customHeight="1" thickBot="1">
      <c r="A37" s="14"/>
      <c r="B37" s="329"/>
      <c r="C37" s="20" t="s">
        <v>21</v>
      </c>
      <c r="D37" s="394" t="s">
        <v>22</v>
      </c>
      <c r="E37" s="394"/>
      <c r="F37" s="394"/>
      <c r="G37" s="393" t="s">
        <v>23</v>
      </c>
      <c r="H37" s="393"/>
      <c r="I37" s="393"/>
      <c r="J37" s="393"/>
      <c r="K37" s="393"/>
      <c r="L37" s="393"/>
      <c r="M37" s="393"/>
      <c r="N37" s="393"/>
      <c r="O37" s="393"/>
      <c r="P37" s="393"/>
      <c r="Q37" s="393"/>
      <c r="R37" s="364" t="s">
        <v>140</v>
      </c>
      <c r="S37" s="365"/>
      <c r="T37" s="366"/>
      <c r="U37" s="186" t="s">
        <v>185</v>
      </c>
      <c r="V37" s="187" t="s">
        <v>223</v>
      </c>
      <c r="W37" s="188" t="s">
        <v>307</v>
      </c>
      <c r="X37" s="14"/>
      <c r="Y37" s="6"/>
      <c r="Z37" s="14"/>
      <c r="AA37" s="14"/>
      <c r="AB37" s="14"/>
      <c r="AC37" s="14"/>
      <c r="AD37" s="14"/>
      <c r="AE37" s="14"/>
      <c r="AF37" s="14"/>
      <c r="AG37" s="14"/>
      <c r="AH37" s="14"/>
      <c r="AI37" s="14"/>
      <c r="AJ37" s="14"/>
      <c r="AK37" s="14"/>
      <c r="AL37" s="14"/>
      <c r="AM37" s="14"/>
      <c r="AN37" s="14"/>
      <c r="AO37" s="14"/>
      <c r="AP37" s="14"/>
      <c r="AR37">
        <f t="shared" si="1"/>
        <v>31</v>
      </c>
      <c r="AS37" s="85">
        <f t="shared" si="5"/>
        <v>72</v>
      </c>
      <c r="AT37" s="85"/>
      <c r="AU37" s="85">
        <f t="shared" si="2"/>
        <v>7.2</v>
      </c>
      <c r="AV37" s="85">
        <f t="shared" si="6"/>
        <v>72</v>
      </c>
      <c r="AW37">
        <f t="shared" si="7"/>
        <v>7.2</v>
      </c>
      <c r="AX37" s="86">
        <f>LN(AW37+$J$36)-LN($J$36)</f>
        <v>2.4870030074646721E-2</v>
      </c>
      <c r="AY37">
        <f t="shared" si="4"/>
        <v>2.6424934449116757E-3</v>
      </c>
      <c r="AZ37"/>
    </row>
    <row r="38" spans="1:52" s="14" customFormat="1" ht="14">
      <c r="J38" s="148"/>
      <c r="K38" s="148"/>
      <c r="L38" s="148"/>
      <c r="M38" s="148"/>
      <c r="Y38" s="6"/>
      <c r="AR38" s="117">
        <f t="shared" si="1"/>
        <v>32</v>
      </c>
      <c r="AS38" s="183">
        <f t="shared" si="5"/>
        <v>72</v>
      </c>
      <c r="AT38" s="183"/>
      <c r="AU38" s="183">
        <f t="shared" si="2"/>
        <v>7.2</v>
      </c>
      <c r="AV38" s="183">
        <f t="shared" si="6"/>
        <v>72</v>
      </c>
      <c r="AW38" s="117">
        <f t="shared" si="7"/>
        <v>7.2</v>
      </c>
      <c r="AX38" s="184">
        <f t="shared" ref="AX38:AX101" si="8">LN(AW38+$J$36)-LN($J$36)</f>
        <v>2.4870030074646721E-2</v>
      </c>
      <c r="AY38" s="117">
        <f t="shared" si="4"/>
        <v>2.4581334371271408E-3</v>
      </c>
      <c r="AZ38" s="117"/>
    </row>
    <row r="39" spans="1:52" s="14" customFormat="1" ht="14">
      <c r="AR39" s="117">
        <f t="shared" si="1"/>
        <v>33</v>
      </c>
      <c r="AS39" s="183">
        <f t="shared" si="5"/>
        <v>72</v>
      </c>
      <c r="AT39" s="183"/>
      <c r="AU39" s="183">
        <f t="shared" si="2"/>
        <v>7.2</v>
      </c>
      <c r="AV39" s="183">
        <f t="shared" si="6"/>
        <v>72</v>
      </c>
      <c r="AW39" s="117">
        <f t="shared" si="7"/>
        <v>7.2</v>
      </c>
      <c r="AX39" s="184">
        <f t="shared" si="8"/>
        <v>2.4870030074646721E-2</v>
      </c>
      <c r="AY39" s="117">
        <f t="shared" si="4"/>
        <v>2.2866357554671077E-3</v>
      </c>
      <c r="AZ39" s="117"/>
    </row>
    <row r="40" spans="1:52" s="14" customFormat="1" ht="14">
      <c r="AR40" s="117">
        <f t="shared" si="1"/>
        <v>34</v>
      </c>
      <c r="AS40" s="183">
        <f t="shared" si="5"/>
        <v>72</v>
      </c>
      <c r="AT40" s="183"/>
      <c r="AU40" s="183">
        <f t="shared" si="2"/>
        <v>7.2</v>
      </c>
      <c r="AV40" s="183">
        <f t="shared" si="6"/>
        <v>72</v>
      </c>
      <c r="AW40" s="117">
        <f t="shared" si="7"/>
        <v>7.2</v>
      </c>
      <c r="AX40" s="184">
        <f t="shared" si="8"/>
        <v>2.4870030074646721E-2</v>
      </c>
      <c r="AY40" s="117">
        <f t="shared" si="4"/>
        <v>2.1271030283414958E-3</v>
      </c>
      <c r="AZ40" s="117"/>
    </row>
    <row r="41" spans="1:52" s="14" customFormat="1" ht="14">
      <c r="AR41" s="117">
        <f t="shared" si="1"/>
        <v>35</v>
      </c>
      <c r="AS41" s="183">
        <f t="shared" si="5"/>
        <v>72</v>
      </c>
      <c r="AT41" s="183"/>
      <c r="AU41" s="183">
        <f t="shared" si="2"/>
        <v>7.2</v>
      </c>
      <c r="AV41" s="183">
        <f t="shared" si="6"/>
        <v>72</v>
      </c>
      <c r="AW41" s="117">
        <f t="shared" si="7"/>
        <v>7.2</v>
      </c>
      <c r="AX41" s="184">
        <f t="shared" si="8"/>
        <v>2.4870030074646721E-2</v>
      </c>
      <c r="AY41" s="117">
        <f t="shared" si="4"/>
        <v>1.9787004914804613E-3</v>
      </c>
      <c r="AZ41" s="117"/>
    </row>
    <row r="42" spans="1:52" s="14" customFormat="1" ht="14">
      <c r="AR42" s="117">
        <f t="shared" si="1"/>
        <v>36</v>
      </c>
      <c r="AS42" s="183">
        <f t="shared" si="5"/>
        <v>72</v>
      </c>
      <c r="AT42" s="183"/>
      <c r="AU42" s="183">
        <f t="shared" si="2"/>
        <v>7.2</v>
      </c>
      <c r="AV42" s="183">
        <f t="shared" si="6"/>
        <v>72</v>
      </c>
      <c r="AW42" s="117">
        <f t="shared" si="7"/>
        <v>7.2</v>
      </c>
      <c r="AX42" s="184">
        <f t="shared" si="8"/>
        <v>2.4870030074646721E-2</v>
      </c>
      <c r="AY42" s="117">
        <f t="shared" si="4"/>
        <v>1.8406516199818241E-3</v>
      </c>
      <c r="AZ42" s="117"/>
    </row>
    <row r="43" spans="1:52" s="14" customFormat="1" ht="14">
      <c r="AR43" s="117">
        <f t="shared" si="1"/>
        <v>37</v>
      </c>
      <c r="AS43" s="183">
        <f t="shared" si="5"/>
        <v>72</v>
      </c>
      <c r="AT43" s="183"/>
      <c r="AU43" s="183">
        <f t="shared" si="2"/>
        <v>7.2</v>
      </c>
      <c r="AV43" s="183">
        <f t="shared" si="6"/>
        <v>72</v>
      </c>
      <c r="AW43" s="117">
        <f t="shared" si="7"/>
        <v>7.2</v>
      </c>
      <c r="AX43" s="184">
        <f t="shared" si="8"/>
        <v>2.4870030074646721E-2</v>
      </c>
      <c r="AY43" s="117">
        <f t="shared" si="4"/>
        <v>1.7122340650993714E-3</v>
      </c>
      <c r="AZ43" s="117"/>
    </row>
    <row r="44" spans="1:52" s="14" customFormat="1" ht="14">
      <c r="AR44" s="117">
        <f t="shared" si="1"/>
        <v>38</v>
      </c>
      <c r="AS44" s="183">
        <f t="shared" si="5"/>
        <v>72</v>
      </c>
      <c r="AT44" s="183"/>
      <c r="AU44" s="183">
        <f t="shared" si="2"/>
        <v>7.2</v>
      </c>
      <c r="AV44" s="183">
        <f t="shared" si="6"/>
        <v>72</v>
      </c>
      <c r="AW44" s="117">
        <f t="shared" si="7"/>
        <v>7.2</v>
      </c>
      <c r="AX44" s="184">
        <f t="shared" si="8"/>
        <v>2.4870030074646721E-2</v>
      </c>
      <c r="AY44" s="117">
        <f t="shared" si="4"/>
        <v>1.5927758745110433E-3</v>
      </c>
      <c r="AZ44" s="117"/>
    </row>
    <row r="45" spans="1:52" s="14" customFormat="1" ht="14">
      <c r="AR45" s="117">
        <f t="shared" si="1"/>
        <v>39</v>
      </c>
      <c r="AS45" s="183">
        <f t="shared" si="5"/>
        <v>72</v>
      </c>
      <c r="AT45" s="183"/>
      <c r="AU45" s="183">
        <f t="shared" si="2"/>
        <v>7.2</v>
      </c>
      <c r="AV45" s="183">
        <f t="shared" si="6"/>
        <v>72</v>
      </c>
      <c r="AW45" s="117">
        <f t="shared" si="7"/>
        <v>7.2</v>
      </c>
      <c r="AX45" s="184">
        <f t="shared" si="8"/>
        <v>2.4870030074646721E-2</v>
      </c>
      <c r="AY45" s="117">
        <f t="shared" si="4"/>
        <v>1.4816519762893426E-3</v>
      </c>
      <c r="AZ45" s="117"/>
    </row>
    <row r="46" spans="1:52" s="14" customFormat="1" ht="14">
      <c r="AR46" s="117">
        <f t="shared" si="1"/>
        <v>40</v>
      </c>
      <c r="AS46" s="183">
        <f t="shared" si="5"/>
        <v>72</v>
      </c>
      <c r="AT46" s="183"/>
      <c r="AU46" s="183">
        <f t="shared" si="2"/>
        <v>7.2</v>
      </c>
      <c r="AV46" s="183">
        <f t="shared" si="6"/>
        <v>72</v>
      </c>
      <c r="AW46" s="117">
        <f t="shared" si="7"/>
        <v>79.2</v>
      </c>
      <c r="AX46" s="184">
        <f t="shared" si="8"/>
        <v>0.24451401526259264</v>
      </c>
      <c r="AY46" s="117">
        <f t="shared" si="4"/>
        <v>1.355080786015922E-2</v>
      </c>
      <c r="AZ46" s="117"/>
    </row>
    <row r="47" spans="1:52" s="14" customFormat="1" ht="14">
      <c r="AR47" s="117" t="str">
        <f t="shared" si="1"/>
        <v/>
      </c>
      <c r="AS47" s="183">
        <f t="shared" si="5"/>
        <v>0</v>
      </c>
      <c r="AT47" s="183"/>
      <c r="AU47" s="183">
        <f t="shared" si="2"/>
        <v>0</v>
      </c>
      <c r="AV47" s="183">
        <f t="shared" si="6"/>
        <v>0</v>
      </c>
      <c r="AW47" s="117">
        <f t="shared" si="7"/>
        <v>0</v>
      </c>
      <c r="AX47" s="184">
        <f t="shared" si="8"/>
        <v>0</v>
      </c>
      <c r="AY47" s="117">
        <f t="shared" si="4"/>
        <v>0</v>
      </c>
      <c r="AZ47" s="117"/>
    </row>
    <row r="48" spans="1:52" s="14" customFormat="1" ht="14">
      <c r="AR48" s="117" t="str">
        <f t="shared" si="1"/>
        <v/>
      </c>
      <c r="AS48" s="183">
        <f t="shared" si="5"/>
        <v>0</v>
      </c>
      <c r="AT48" s="183"/>
      <c r="AU48" s="183">
        <f t="shared" si="2"/>
        <v>0</v>
      </c>
      <c r="AV48" s="183">
        <f t="shared" si="6"/>
        <v>0</v>
      </c>
      <c r="AW48" s="117">
        <f t="shared" si="7"/>
        <v>0</v>
      </c>
      <c r="AX48" s="184">
        <f t="shared" si="8"/>
        <v>0</v>
      </c>
      <c r="AY48" s="117">
        <f t="shared" si="4"/>
        <v>0</v>
      </c>
      <c r="AZ48" s="117"/>
    </row>
    <row r="49" spans="44:52" s="14" customFormat="1" ht="14">
      <c r="AR49" s="117" t="str">
        <f t="shared" si="1"/>
        <v/>
      </c>
      <c r="AS49" s="183">
        <f t="shared" si="5"/>
        <v>0</v>
      </c>
      <c r="AT49" s="183"/>
      <c r="AU49" s="183">
        <f t="shared" si="2"/>
        <v>0</v>
      </c>
      <c r="AV49" s="183">
        <f t="shared" si="6"/>
        <v>0</v>
      </c>
      <c r="AW49" s="117">
        <f t="shared" si="7"/>
        <v>0</v>
      </c>
      <c r="AX49" s="184">
        <f t="shared" si="8"/>
        <v>0</v>
      </c>
      <c r="AY49" s="117">
        <f t="shared" si="4"/>
        <v>0</v>
      </c>
      <c r="AZ49" s="117"/>
    </row>
    <row r="50" spans="44:52" s="14" customFormat="1" ht="14">
      <c r="AR50" s="117" t="str">
        <f t="shared" si="1"/>
        <v/>
      </c>
      <c r="AS50" s="183">
        <f t="shared" si="5"/>
        <v>0</v>
      </c>
      <c r="AT50" s="183"/>
      <c r="AU50" s="183">
        <f t="shared" si="2"/>
        <v>0</v>
      </c>
      <c r="AV50" s="183">
        <f t="shared" si="6"/>
        <v>0</v>
      </c>
      <c r="AW50" s="117">
        <f t="shared" si="7"/>
        <v>0</v>
      </c>
      <c r="AX50" s="184">
        <f t="shared" si="8"/>
        <v>0</v>
      </c>
      <c r="AY50" s="117">
        <f t="shared" si="4"/>
        <v>0</v>
      </c>
      <c r="AZ50" s="117"/>
    </row>
    <row r="51" spans="44:52" s="14" customFormat="1" ht="14">
      <c r="AR51" s="117" t="str">
        <f t="shared" si="1"/>
        <v/>
      </c>
      <c r="AS51" s="183">
        <f t="shared" si="5"/>
        <v>0</v>
      </c>
      <c r="AT51" s="183"/>
      <c r="AU51" s="183">
        <f t="shared" si="2"/>
        <v>0</v>
      </c>
      <c r="AV51" s="183">
        <f t="shared" si="6"/>
        <v>0</v>
      </c>
      <c r="AW51" s="117">
        <f t="shared" si="7"/>
        <v>0</v>
      </c>
      <c r="AX51" s="184">
        <f t="shared" si="8"/>
        <v>0</v>
      </c>
      <c r="AY51" s="117">
        <f t="shared" si="4"/>
        <v>0</v>
      </c>
      <c r="AZ51" s="117"/>
    </row>
    <row r="52" spans="44:52" s="14" customFormat="1" ht="14">
      <c r="AR52" s="117" t="str">
        <f t="shared" si="1"/>
        <v/>
      </c>
      <c r="AS52" s="183">
        <f t="shared" si="5"/>
        <v>0</v>
      </c>
      <c r="AT52" s="183"/>
      <c r="AU52" s="183">
        <f t="shared" si="2"/>
        <v>0</v>
      </c>
      <c r="AV52" s="183">
        <f t="shared" si="6"/>
        <v>0</v>
      </c>
      <c r="AW52" s="117">
        <f t="shared" si="7"/>
        <v>0</v>
      </c>
      <c r="AX52" s="184">
        <f t="shared" si="8"/>
        <v>0</v>
      </c>
      <c r="AY52" s="117">
        <f t="shared" si="4"/>
        <v>0</v>
      </c>
      <c r="AZ52" s="117"/>
    </row>
    <row r="53" spans="44:52" s="14" customFormat="1" ht="14">
      <c r="AR53" s="117" t="str">
        <f t="shared" si="1"/>
        <v/>
      </c>
      <c r="AS53" s="183">
        <f t="shared" si="5"/>
        <v>0</v>
      </c>
      <c r="AT53" s="183"/>
      <c r="AU53" s="183">
        <f t="shared" si="2"/>
        <v>0</v>
      </c>
      <c r="AV53" s="183">
        <f t="shared" si="6"/>
        <v>0</v>
      </c>
      <c r="AW53" s="117">
        <f t="shared" si="7"/>
        <v>0</v>
      </c>
      <c r="AX53" s="184">
        <f t="shared" si="8"/>
        <v>0</v>
      </c>
      <c r="AY53" s="117">
        <f t="shared" si="4"/>
        <v>0</v>
      </c>
      <c r="AZ53" s="117"/>
    </row>
    <row r="54" spans="44:52" s="14" customFormat="1" ht="14">
      <c r="AR54" s="117" t="str">
        <f t="shared" si="1"/>
        <v/>
      </c>
      <c r="AS54" s="183">
        <f t="shared" si="5"/>
        <v>0</v>
      </c>
      <c r="AT54" s="183"/>
      <c r="AU54" s="183">
        <f t="shared" si="2"/>
        <v>0</v>
      </c>
      <c r="AV54" s="183">
        <f t="shared" si="6"/>
        <v>0</v>
      </c>
      <c r="AW54" s="117">
        <f t="shared" si="7"/>
        <v>0</v>
      </c>
      <c r="AX54" s="184">
        <f t="shared" si="8"/>
        <v>0</v>
      </c>
      <c r="AY54" s="117">
        <f t="shared" si="4"/>
        <v>0</v>
      </c>
      <c r="AZ54" s="117"/>
    </row>
    <row r="55" spans="44:52" s="14" customFormat="1" ht="14">
      <c r="AR55" s="117" t="str">
        <f t="shared" si="1"/>
        <v/>
      </c>
      <c r="AS55" s="183">
        <f t="shared" si="5"/>
        <v>0</v>
      </c>
      <c r="AT55" s="183"/>
      <c r="AU55" s="183">
        <f t="shared" si="2"/>
        <v>0</v>
      </c>
      <c r="AV55" s="183">
        <f t="shared" si="6"/>
        <v>0</v>
      </c>
      <c r="AW55" s="117">
        <f t="shared" si="7"/>
        <v>0</v>
      </c>
      <c r="AX55" s="184">
        <f t="shared" si="8"/>
        <v>0</v>
      </c>
      <c r="AY55" s="117">
        <f t="shared" si="4"/>
        <v>0</v>
      </c>
      <c r="AZ55" s="117"/>
    </row>
    <row r="56" spans="44:52" s="14" customFormat="1" ht="14">
      <c r="AR56" s="117" t="str">
        <f t="shared" si="1"/>
        <v/>
      </c>
      <c r="AS56" s="183">
        <f t="shared" si="5"/>
        <v>0</v>
      </c>
      <c r="AT56" s="183"/>
      <c r="AU56" s="183">
        <f t="shared" si="2"/>
        <v>0</v>
      </c>
      <c r="AV56" s="183">
        <f t="shared" si="6"/>
        <v>0</v>
      </c>
      <c r="AW56" s="117">
        <f t="shared" si="7"/>
        <v>0</v>
      </c>
      <c r="AX56" s="184">
        <f t="shared" si="8"/>
        <v>0</v>
      </c>
      <c r="AY56" s="117">
        <f t="shared" si="4"/>
        <v>0</v>
      </c>
      <c r="AZ56" s="117"/>
    </row>
    <row r="57" spans="44:52" s="14" customFormat="1" ht="14">
      <c r="AR57" s="117" t="str">
        <f t="shared" si="1"/>
        <v/>
      </c>
      <c r="AS57" s="183">
        <f t="shared" si="5"/>
        <v>0</v>
      </c>
      <c r="AT57" s="183"/>
      <c r="AU57" s="183">
        <f t="shared" si="2"/>
        <v>0</v>
      </c>
      <c r="AV57" s="183">
        <f t="shared" si="6"/>
        <v>0</v>
      </c>
      <c r="AW57" s="117">
        <f t="shared" si="7"/>
        <v>0</v>
      </c>
      <c r="AX57" s="184">
        <f t="shared" si="8"/>
        <v>0</v>
      </c>
      <c r="AY57" s="117">
        <f t="shared" si="4"/>
        <v>0</v>
      </c>
      <c r="AZ57" s="117"/>
    </row>
    <row r="58" spans="44:52" s="14" customFormat="1" ht="14">
      <c r="AR58" s="117" t="str">
        <f t="shared" si="1"/>
        <v/>
      </c>
      <c r="AS58" s="183">
        <f t="shared" si="5"/>
        <v>0</v>
      </c>
      <c r="AT58" s="183"/>
      <c r="AU58" s="183">
        <f t="shared" si="2"/>
        <v>0</v>
      </c>
      <c r="AV58" s="183">
        <f t="shared" si="6"/>
        <v>0</v>
      </c>
      <c r="AW58" s="117">
        <f t="shared" si="7"/>
        <v>0</v>
      </c>
      <c r="AX58" s="184">
        <f t="shared" si="8"/>
        <v>0</v>
      </c>
      <c r="AY58" s="117">
        <f t="shared" si="4"/>
        <v>0</v>
      </c>
      <c r="AZ58" s="117"/>
    </row>
    <row r="59" spans="44:52" s="14" customFormat="1" ht="14">
      <c r="AR59" s="117" t="str">
        <f t="shared" si="1"/>
        <v/>
      </c>
      <c r="AS59" s="183">
        <f t="shared" si="5"/>
        <v>0</v>
      </c>
      <c r="AT59" s="183"/>
      <c r="AU59" s="183">
        <f t="shared" si="2"/>
        <v>0</v>
      </c>
      <c r="AV59" s="183">
        <f t="shared" si="6"/>
        <v>0</v>
      </c>
      <c r="AW59" s="117">
        <f t="shared" si="7"/>
        <v>0</v>
      </c>
      <c r="AX59" s="184">
        <f t="shared" si="8"/>
        <v>0</v>
      </c>
      <c r="AY59" s="117">
        <f t="shared" si="4"/>
        <v>0</v>
      </c>
      <c r="AZ59" s="117"/>
    </row>
    <row r="60" spans="44:52" s="14" customFormat="1" ht="14">
      <c r="AR60" s="117" t="str">
        <f t="shared" si="1"/>
        <v/>
      </c>
      <c r="AS60" s="183">
        <f t="shared" si="5"/>
        <v>0</v>
      </c>
      <c r="AT60" s="183"/>
      <c r="AU60" s="183">
        <f t="shared" si="2"/>
        <v>0</v>
      </c>
      <c r="AV60" s="183">
        <f t="shared" si="6"/>
        <v>0</v>
      </c>
      <c r="AW60" s="117">
        <f t="shared" si="7"/>
        <v>0</v>
      </c>
      <c r="AX60" s="184">
        <f t="shared" si="8"/>
        <v>0</v>
      </c>
      <c r="AY60" s="117">
        <f t="shared" si="4"/>
        <v>0</v>
      </c>
      <c r="AZ60" s="117"/>
    </row>
    <row r="61" spans="44:52" s="14" customFormat="1" ht="14">
      <c r="AR61" s="117" t="str">
        <f t="shared" si="1"/>
        <v/>
      </c>
      <c r="AS61" s="183">
        <f t="shared" si="5"/>
        <v>0</v>
      </c>
      <c r="AT61" s="183"/>
      <c r="AU61" s="183">
        <f t="shared" si="2"/>
        <v>0</v>
      </c>
      <c r="AV61" s="183">
        <f t="shared" si="6"/>
        <v>0</v>
      </c>
      <c r="AW61" s="117">
        <f t="shared" si="7"/>
        <v>0</v>
      </c>
      <c r="AX61" s="184">
        <f t="shared" si="8"/>
        <v>0</v>
      </c>
      <c r="AY61" s="117">
        <f t="shared" si="4"/>
        <v>0</v>
      </c>
      <c r="AZ61" s="117"/>
    </row>
    <row r="62" spans="44:52" s="14" customFormat="1" ht="14">
      <c r="AR62" s="117" t="str">
        <f t="shared" si="1"/>
        <v/>
      </c>
      <c r="AS62" s="183">
        <f t="shared" si="5"/>
        <v>0</v>
      </c>
      <c r="AT62" s="183"/>
      <c r="AU62" s="183">
        <f t="shared" si="2"/>
        <v>0</v>
      </c>
      <c r="AV62" s="183">
        <f t="shared" si="6"/>
        <v>0</v>
      </c>
      <c r="AW62" s="117">
        <f t="shared" si="7"/>
        <v>0</v>
      </c>
      <c r="AX62" s="184">
        <f t="shared" si="8"/>
        <v>0</v>
      </c>
      <c r="AY62" s="117">
        <f t="shared" si="4"/>
        <v>0</v>
      </c>
      <c r="AZ62" s="117"/>
    </row>
    <row r="63" spans="44:52" s="14" customFormat="1" ht="14">
      <c r="AR63" s="117" t="str">
        <f t="shared" si="1"/>
        <v/>
      </c>
      <c r="AS63" s="183">
        <f t="shared" si="5"/>
        <v>0</v>
      </c>
      <c r="AT63" s="183"/>
      <c r="AU63" s="183">
        <f t="shared" si="2"/>
        <v>0</v>
      </c>
      <c r="AV63" s="183">
        <f t="shared" si="6"/>
        <v>0</v>
      </c>
      <c r="AW63" s="117">
        <f t="shared" si="7"/>
        <v>0</v>
      </c>
      <c r="AX63" s="184">
        <f t="shared" si="8"/>
        <v>0</v>
      </c>
      <c r="AY63" s="117">
        <f t="shared" si="4"/>
        <v>0</v>
      </c>
      <c r="AZ63" s="117"/>
    </row>
    <row r="64" spans="44:52" s="14" customFormat="1" ht="14">
      <c r="AR64" s="117" t="str">
        <f t="shared" si="1"/>
        <v/>
      </c>
      <c r="AS64" s="183">
        <f t="shared" si="5"/>
        <v>0</v>
      </c>
      <c r="AT64" s="183"/>
      <c r="AU64" s="183">
        <f t="shared" si="2"/>
        <v>0</v>
      </c>
      <c r="AV64" s="183">
        <f t="shared" si="6"/>
        <v>0</v>
      </c>
      <c r="AW64" s="117">
        <f t="shared" si="7"/>
        <v>0</v>
      </c>
      <c r="AX64" s="184">
        <f t="shared" si="8"/>
        <v>0</v>
      </c>
      <c r="AY64" s="117">
        <f t="shared" si="4"/>
        <v>0</v>
      </c>
      <c r="AZ64" s="117"/>
    </row>
    <row r="65" spans="44:52" s="14" customFormat="1" ht="14">
      <c r="AR65" s="117" t="str">
        <f t="shared" si="1"/>
        <v/>
      </c>
      <c r="AS65" s="183">
        <f t="shared" si="5"/>
        <v>0</v>
      </c>
      <c r="AT65" s="183"/>
      <c r="AU65" s="183">
        <f t="shared" si="2"/>
        <v>0</v>
      </c>
      <c r="AV65" s="183">
        <f t="shared" si="6"/>
        <v>0</v>
      </c>
      <c r="AW65" s="117">
        <f t="shared" si="7"/>
        <v>0</v>
      </c>
      <c r="AX65" s="184">
        <f t="shared" si="8"/>
        <v>0</v>
      </c>
      <c r="AY65" s="117">
        <f t="shared" si="4"/>
        <v>0</v>
      </c>
      <c r="AZ65" s="117"/>
    </row>
    <row r="66" spans="44:52" s="14" customFormat="1" ht="14">
      <c r="AR66" s="117" t="str">
        <f t="shared" si="1"/>
        <v/>
      </c>
      <c r="AS66" s="183">
        <f t="shared" si="5"/>
        <v>0</v>
      </c>
      <c r="AT66" s="183"/>
      <c r="AU66" s="183">
        <f t="shared" si="2"/>
        <v>0</v>
      </c>
      <c r="AV66" s="183">
        <f t="shared" si="6"/>
        <v>0</v>
      </c>
      <c r="AW66" s="117">
        <f t="shared" si="7"/>
        <v>0</v>
      </c>
      <c r="AX66" s="184">
        <f t="shared" si="8"/>
        <v>0</v>
      </c>
      <c r="AY66" s="117">
        <f t="shared" si="4"/>
        <v>0</v>
      </c>
      <c r="AZ66" s="117"/>
    </row>
    <row r="67" spans="44:52" s="14" customFormat="1" ht="14">
      <c r="AR67" s="117" t="str">
        <f t="shared" si="1"/>
        <v/>
      </c>
      <c r="AS67" s="183">
        <f t="shared" si="5"/>
        <v>0</v>
      </c>
      <c r="AT67" s="183"/>
      <c r="AU67" s="183">
        <f t="shared" si="2"/>
        <v>0</v>
      </c>
      <c r="AV67" s="183">
        <f t="shared" si="6"/>
        <v>0</v>
      </c>
      <c r="AW67" s="117">
        <f t="shared" si="7"/>
        <v>0</v>
      </c>
      <c r="AX67" s="184">
        <f t="shared" si="8"/>
        <v>0</v>
      </c>
      <c r="AY67" s="117">
        <f t="shared" si="4"/>
        <v>0</v>
      </c>
      <c r="AZ67" s="117"/>
    </row>
    <row r="68" spans="44:52" s="14" customFormat="1" ht="14">
      <c r="AR68" s="117" t="str">
        <f t="shared" si="1"/>
        <v/>
      </c>
      <c r="AS68" s="183">
        <f t="shared" si="5"/>
        <v>0</v>
      </c>
      <c r="AT68" s="183"/>
      <c r="AU68" s="183">
        <f t="shared" si="2"/>
        <v>0</v>
      </c>
      <c r="AV68" s="183">
        <f t="shared" si="6"/>
        <v>0</v>
      </c>
      <c r="AW68" s="117">
        <f t="shared" si="7"/>
        <v>0</v>
      </c>
      <c r="AX68" s="184">
        <f t="shared" si="8"/>
        <v>0</v>
      </c>
      <c r="AY68" s="117">
        <f t="shared" si="4"/>
        <v>0</v>
      </c>
      <c r="AZ68" s="117"/>
    </row>
    <row r="69" spans="44:52" s="14" customFormat="1" ht="14">
      <c r="AR69" s="117" t="str">
        <f t="shared" ref="AR69:AR113" si="9">IF(AR68&lt;$D$14,AR68+1,"")</f>
        <v/>
      </c>
      <c r="AS69" s="183">
        <f t="shared" si="5"/>
        <v>0</v>
      </c>
      <c r="AT69" s="183"/>
      <c r="AU69" s="183">
        <f t="shared" si="2"/>
        <v>0</v>
      </c>
      <c r="AV69" s="183">
        <f t="shared" si="6"/>
        <v>0</v>
      </c>
      <c r="AW69" s="117">
        <f t="shared" si="7"/>
        <v>0</v>
      </c>
      <c r="AX69" s="184">
        <f t="shared" si="8"/>
        <v>0</v>
      </c>
      <c r="AY69" s="117">
        <f t="shared" si="4"/>
        <v>0</v>
      </c>
      <c r="AZ69" s="117"/>
    </row>
    <row r="70" spans="44:52" s="14" customFormat="1" ht="14">
      <c r="AR70" s="117" t="str">
        <f t="shared" si="9"/>
        <v/>
      </c>
      <c r="AS70" s="183">
        <f t="shared" si="5"/>
        <v>0</v>
      </c>
      <c r="AT70" s="183"/>
      <c r="AU70" s="183">
        <f t="shared" si="2"/>
        <v>0</v>
      </c>
      <c r="AV70" s="183">
        <f t="shared" si="6"/>
        <v>0</v>
      </c>
      <c r="AW70" s="117">
        <f t="shared" si="7"/>
        <v>0</v>
      </c>
      <c r="AX70" s="184">
        <f t="shared" si="8"/>
        <v>0</v>
      </c>
      <c r="AY70" s="117">
        <f t="shared" si="4"/>
        <v>0</v>
      </c>
      <c r="AZ70" s="117"/>
    </row>
    <row r="71" spans="44:52" s="14" customFormat="1" ht="14">
      <c r="AR71" s="117" t="str">
        <f t="shared" si="9"/>
        <v/>
      </c>
      <c r="AS71" s="183">
        <f t="shared" si="5"/>
        <v>0</v>
      </c>
      <c r="AT71" s="183"/>
      <c r="AU71" s="183">
        <f t="shared" ref="AU71:AU113" si="10">$D$10*AS71</f>
        <v>0</v>
      </c>
      <c r="AV71" s="183">
        <f t="shared" si="6"/>
        <v>0</v>
      </c>
      <c r="AW71" s="117">
        <f t="shared" si="7"/>
        <v>0</v>
      </c>
      <c r="AX71" s="184">
        <f t="shared" si="8"/>
        <v>0</v>
      </c>
      <c r="AY71" s="117">
        <f t="shared" ref="AY71:AY113" si="11">IF(ISNUMBER(AR71),AX71/(1+$D$7)^AR71,0)</f>
        <v>0</v>
      </c>
      <c r="AZ71" s="117"/>
    </row>
    <row r="72" spans="44:52" s="14" customFormat="1" ht="14">
      <c r="AR72" s="117" t="str">
        <f t="shared" si="9"/>
        <v/>
      </c>
      <c r="AS72" s="183">
        <f t="shared" ref="AS72:AS113" si="12">IF(ISNUMBER(AR72),AV71,0)</f>
        <v>0</v>
      </c>
      <c r="AT72" s="183"/>
      <c r="AU72" s="183">
        <f t="shared" si="10"/>
        <v>0</v>
      </c>
      <c r="AV72" s="183">
        <f t="shared" ref="AV72:AV113" si="13">AS72</f>
        <v>0</v>
      </c>
      <c r="AW72" s="117">
        <f t="shared" si="7"/>
        <v>0</v>
      </c>
      <c r="AX72" s="184">
        <f t="shared" si="8"/>
        <v>0</v>
      </c>
      <c r="AY72" s="117">
        <f t="shared" si="11"/>
        <v>0</v>
      </c>
      <c r="AZ72" s="117"/>
    </row>
    <row r="73" spans="44:52" s="14" customFormat="1" ht="14">
      <c r="AR73" s="117" t="str">
        <f t="shared" si="9"/>
        <v/>
      </c>
      <c r="AS73" s="183">
        <f t="shared" si="12"/>
        <v>0</v>
      </c>
      <c r="AT73" s="183"/>
      <c r="AU73" s="183">
        <f t="shared" si="10"/>
        <v>0</v>
      </c>
      <c r="AV73" s="183">
        <f t="shared" si="13"/>
        <v>0</v>
      </c>
      <c r="AW73" s="117">
        <f t="shared" si="7"/>
        <v>0</v>
      </c>
      <c r="AX73" s="184">
        <f t="shared" si="8"/>
        <v>0</v>
      </c>
      <c r="AY73" s="117">
        <f t="shared" si="11"/>
        <v>0</v>
      </c>
      <c r="AZ73" s="117"/>
    </row>
    <row r="74" spans="44:52" s="14" customFormat="1" ht="14">
      <c r="AR74" s="117" t="str">
        <f t="shared" si="9"/>
        <v/>
      </c>
      <c r="AS74" s="183">
        <f t="shared" si="12"/>
        <v>0</v>
      </c>
      <c r="AT74" s="183"/>
      <c r="AU74" s="183">
        <f t="shared" si="10"/>
        <v>0</v>
      </c>
      <c r="AV74" s="183">
        <f t="shared" si="13"/>
        <v>0</v>
      </c>
      <c r="AW74" s="117">
        <f t="shared" si="7"/>
        <v>0</v>
      </c>
      <c r="AX74" s="184">
        <f t="shared" si="8"/>
        <v>0</v>
      </c>
      <c r="AY74" s="117">
        <f t="shared" si="11"/>
        <v>0</v>
      </c>
      <c r="AZ74" s="117"/>
    </row>
    <row r="75" spans="44:52" s="14" customFormat="1" ht="14">
      <c r="AR75" s="117" t="str">
        <f t="shared" si="9"/>
        <v/>
      </c>
      <c r="AS75" s="183">
        <f t="shared" si="12"/>
        <v>0</v>
      </c>
      <c r="AT75" s="183"/>
      <c r="AU75" s="183">
        <f t="shared" si="10"/>
        <v>0</v>
      </c>
      <c r="AV75" s="183">
        <f t="shared" si="13"/>
        <v>0</v>
      </c>
      <c r="AW75" s="117">
        <f t="shared" si="7"/>
        <v>0</v>
      </c>
      <c r="AX75" s="184">
        <f t="shared" si="8"/>
        <v>0</v>
      </c>
      <c r="AY75" s="117">
        <f t="shared" si="11"/>
        <v>0</v>
      </c>
      <c r="AZ75" s="117"/>
    </row>
    <row r="76" spans="44:52" s="14" customFormat="1" ht="14">
      <c r="AR76" s="117" t="str">
        <f t="shared" si="9"/>
        <v/>
      </c>
      <c r="AS76" s="183">
        <f t="shared" si="12"/>
        <v>0</v>
      </c>
      <c r="AT76" s="183"/>
      <c r="AU76" s="183">
        <f t="shared" si="10"/>
        <v>0</v>
      </c>
      <c r="AV76" s="183">
        <f t="shared" si="13"/>
        <v>0</v>
      </c>
      <c r="AW76" s="117">
        <f t="shared" si="7"/>
        <v>0</v>
      </c>
      <c r="AX76" s="184">
        <f t="shared" si="8"/>
        <v>0</v>
      </c>
      <c r="AY76" s="117">
        <f t="shared" si="11"/>
        <v>0</v>
      </c>
      <c r="AZ76" s="117"/>
    </row>
    <row r="77" spans="44:52" s="14" customFormat="1" ht="14">
      <c r="AR77" s="117" t="str">
        <f t="shared" si="9"/>
        <v/>
      </c>
      <c r="AS77" s="183">
        <f t="shared" si="12"/>
        <v>0</v>
      </c>
      <c r="AT77" s="183"/>
      <c r="AU77" s="183">
        <f t="shared" si="10"/>
        <v>0</v>
      </c>
      <c r="AV77" s="183">
        <f t="shared" si="13"/>
        <v>0</v>
      </c>
      <c r="AW77" s="117">
        <f t="shared" si="7"/>
        <v>0</v>
      </c>
      <c r="AX77" s="184">
        <f t="shared" si="8"/>
        <v>0</v>
      </c>
      <c r="AY77" s="117">
        <f t="shared" si="11"/>
        <v>0</v>
      </c>
      <c r="AZ77" s="117"/>
    </row>
    <row r="78" spans="44:52" s="14" customFormat="1" ht="14">
      <c r="AR78" s="117" t="str">
        <f t="shared" si="9"/>
        <v/>
      </c>
      <c r="AS78" s="183">
        <f t="shared" si="12"/>
        <v>0</v>
      </c>
      <c r="AT78" s="183"/>
      <c r="AU78" s="183">
        <f t="shared" si="10"/>
        <v>0</v>
      </c>
      <c r="AV78" s="183">
        <f t="shared" si="13"/>
        <v>0</v>
      </c>
      <c r="AW78" s="117">
        <f t="shared" si="7"/>
        <v>0</v>
      </c>
      <c r="AX78" s="184">
        <f t="shared" si="8"/>
        <v>0</v>
      </c>
      <c r="AY78" s="117">
        <f t="shared" si="11"/>
        <v>0</v>
      </c>
      <c r="AZ78" s="117"/>
    </row>
    <row r="79" spans="44:52" s="14" customFormat="1" ht="14">
      <c r="AR79" s="117" t="str">
        <f t="shared" si="9"/>
        <v/>
      </c>
      <c r="AS79" s="183">
        <f t="shared" si="12"/>
        <v>0</v>
      </c>
      <c r="AT79" s="183"/>
      <c r="AU79" s="183">
        <f t="shared" si="10"/>
        <v>0</v>
      </c>
      <c r="AV79" s="183">
        <f t="shared" si="13"/>
        <v>0</v>
      </c>
      <c r="AW79" s="117">
        <f t="shared" si="7"/>
        <v>0</v>
      </c>
      <c r="AX79" s="184">
        <f t="shared" si="8"/>
        <v>0</v>
      </c>
      <c r="AY79" s="117">
        <f t="shared" si="11"/>
        <v>0</v>
      </c>
      <c r="AZ79" s="117"/>
    </row>
    <row r="80" spans="44:52" s="14" customFormat="1" ht="14">
      <c r="AR80" s="117" t="str">
        <f t="shared" si="9"/>
        <v/>
      </c>
      <c r="AS80" s="183">
        <f t="shared" si="12"/>
        <v>0</v>
      </c>
      <c r="AT80" s="183"/>
      <c r="AU80" s="183">
        <f t="shared" si="10"/>
        <v>0</v>
      </c>
      <c r="AV80" s="183">
        <f t="shared" si="13"/>
        <v>0</v>
      </c>
      <c r="AW80" s="117">
        <f t="shared" si="7"/>
        <v>0</v>
      </c>
      <c r="AX80" s="184">
        <f t="shared" si="8"/>
        <v>0</v>
      </c>
      <c r="AY80" s="117">
        <f t="shared" si="11"/>
        <v>0</v>
      </c>
      <c r="AZ80" s="117"/>
    </row>
    <row r="81" spans="44:52" s="14" customFormat="1" ht="14">
      <c r="AR81" s="117" t="str">
        <f t="shared" si="9"/>
        <v/>
      </c>
      <c r="AS81" s="183">
        <f t="shared" si="12"/>
        <v>0</v>
      </c>
      <c r="AT81" s="183"/>
      <c r="AU81" s="183">
        <f t="shared" si="10"/>
        <v>0</v>
      </c>
      <c r="AV81" s="183">
        <f t="shared" si="13"/>
        <v>0</v>
      </c>
      <c r="AW81" s="117">
        <f t="shared" ref="AW81:AW113" si="14">IF(ISNUMBER(AR82),SUM(AT81:AU81),SUM(AT81:AV81))</f>
        <v>0</v>
      </c>
      <c r="AX81" s="184">
        <f t="shared" si="8"/>
        <v>0</v>
      </c>
      <c r="AY81" s="117">
        <f t="shared" si="11"/>
        <v>0</v>
      </c>
      <c r="AZ81" s="117"/>
    </row>
    <row r="82" spans="44:52" s="14" customFormat="1" ht="14">
      <c r="AR82" s="117" t="str">
        <f t="shared" si="9"/>
        <v/>
      </c>
      <c r="AS82" s="183">
        <f t="shared" si="12"/>
        <v>0</v>
      </c>
      <c r="AT82" s="183"/>
      <c r="AU82" s="183">
        <f t="shared" si="10"/>
        <v>0</v>
      </c>
      <c r="AV82" s="183">
        <f t="shared" si="13"/>
        <v>0</v>
      </c>
      <c r="AW82" s="117">
        <f t="shared" si="14"/>
        <v>0</v>
      </c>
      <c r="AX82" s="184">
        <f t="shared" si="8"/>
        <v>0</v>
      </c>
      <c r="AY82" s="117">
        <f t="shared" si="11"/>
        <v>0</v>
      </c>
      <c r="AZ82" s="117"/>
    </row>
    <row r="83" spans="44:52" s="14" customFormat="1" ht="14">
      <c r="AR83" s="117" t="str">
        <f t="shared" si="9"/>
        <v/>
      </c>
      <c r="AS83" s="183">
        <f t="shared" si="12"/>
        <v>0</v>
      </c>
      <c r="AT83" s="183"/>
      <c r="AU83" s="183">
        <f t="shared" si="10"/>
        <v>0</v>
      </c>
      <c r="AV83" s="183">
        <f t="shared" si="13"/>
        <v>0</v>
      </c>
      <c r="AW83" s="117">
        <f t="shared" si="14"/>
        <v>0</v>
      </c>
      <c r="AX83" s="184">
        <f t="shared" si="8"/>
        <v>0</v>
      </c>
      <c r="AY83" s="117">
        <f t="shared" si="11"/>
        <v>0</v>
      </c>
      <c r="AZ83" s="117"/>
    </row>
    <row r="84" spans="44:52" s="14" customFormat="1" ht="14">
      <c r="AR84" s="117" t="str">
        <f t="shared" si="9"/>
        <v/>
      </c>
      <c r="AS84" s="183">
        <f t="shared" si="12"/>
        <v>0</v>
      </c>
      <c r="AT84" s="183"/>
      <c r="AU84" s="183">
        <f t="shared" si="10"/>
        <v>0</v>
      </c>
      <c r="AV84" s="183">
        <f t="shared" si="13"/>
        <v>0</v>
      </c>
      <c r="AW84" s="117">
        <f t="shared" si="14"/>
        <v>0</v>
      </c>
      <c r="AX84" s="184">
        <f t="shared" si="8"/>
        <v>0</v>
      </c>
      <c r="AY84" s="117">
        <f t="shared" si="11"/>
        <v>0</v>
      </c>
      <c r="AZ84" s="117"/>
    </row>
    <row r="85" spans="44:52" s="14" customFormat="1" ht="14">
      <c r="AR85" s="117" t="str">
        <f t="shared" si="9"/>
        <v/>
      </c>
      <c r="AS85" s="183">
        <f t="shared" si="12"/>
        <v>0</v>
      </c>
      <c r="AT85" s="183"/>
      <c r="AU85" s="183">
        <f t="shared" si="10"/>
        <v>0</v>
      </c>
      <c r="AV85" s="183">
        <f t="shared" si="13"/>
        <v>0</v>
      </c>
      <c r="AW85" s="117">
        <f t="shared" si="14"/>
        <v>0</v>
      </c>
      <c r="AX85" s="184">
        <f t="shared" si="8"/>
        <v>0</v>
      </c>
      <c r="AY85" s="117">
        <f t="shared" si="11"/>
        <v>0</v>
      </c>
      <c r="AZ85" s="117"/>
    </row>
    <row r="86" spans="44:52" s="14" customFormat="1" ht="14">
      <c r="AR86" s="117" t="str">
        <f t="shared" si="9"/>
        <v/>
      </c>
      <c r="AS86" s="183">
        <f t="shared" si="12"/>
        <v>0</v>
      </c>
      <c r="AT86" s="183"/>
      <c r="AU86" s="183">
        <f t="shared" si="10"/>
        <v>0</v>
      </c>
      <c r="AV86" s="183">
        <f t="shared" si="13"/>
        <v>0</v>
      </c>
      <c r="AW86" s="117">
        <f t="shared" si="14"/>
        <v>0</v>
      </c>
      <c r="AX86" s="184">
        <f t="shared" si="8"/>
        <v>0</v>
      </c>
      <c r="AY86" s="117">
        <f t="shared" si="11"/>
        <v>0</v>
      </c>
      <c r="AZ86" s="117"/>
    </row>
    <row r="87" spans="44:52" s="14" customFormat="1" ht="14">
      <c r="AR87" s="117" t="str">
        <f t="shared" si="9"/>
        <v/>
      </c>
      <c r="AS87" s="183">
        <f t="shared" si="12"/>
        <v>0</v>
      </c>
      <c r="AT87" s="183"/>
      <c r="AU87" s="183">
        <f t="shared" si="10"/>
        <v>0</v>
      </c>
      <c r="AV87" s="183">
        <f t="shared" si="13"/>
        <v>0</v>
      </c>
      <c r="AW87" s="117">
        <f t="shared" si="14"/>
        <v>0</v>
      </c>
      <c r="AX87" s="184">
        <f t="shared" si="8"/>
        <v>0</v>
      </c>
      <c r="AY87" s="117">
        <f t="shared" si="11"/>
        <v>0</v>
      </c>
      <c r="AZ87" s="117"/>
    </row>
    <row r="88" spans="44:52" s="14" customFormat="1" ht="14">
      <c r="AR88" s="117" t="str">
        <f t="shared" si="9"/>
        <v/>
      </c>
      <c r="AS88" s="183">
        <f t="shared" si="12"/>
        <v>0</v>
      </c>
      <c r="AT88" s="183"/>
      <c r="AU88" s="183">
        <f t="shared" si="10"/>
        <v>0</v>
      </c>
      <c r="AV88" s="183">
        <f t="shared" si="13"/>
        <v>0</v>
      </c>
      <c r="AW88" s="117">
        <f t="shared" si="14"/>
        <v>0</v>
      </c>
      <c r="AX88" s="184">
        <f t="shared" si="8"/>
        <v>0</v>
      </c>
      <c r="AY88" s="117">
        <f t="shared" si="11"/>
        <v>0</v>
      </c>
      <c r="AZ88" s="117"/>
    </row>
    <row r="89" spans="44:52" s="14" customFormat="1" ht="14">
      <c r="AR89" s="117" t="str">
        <f t="shared" si="9"/>
        <v/>
      </c>
      <c r="AS89" s="183">
        <f t="shared" si="12"/>
        <v>0</v>
      </c>
      <c r="AT89" s="183"/>
      <c r="AU89" s="183">
        <f t="shared" si="10"/>
        <v>0</v>
      </c>
      <c r="AV89" s="183">
        <f t="shared" si="13"/>
        <v>0</v>
      </c>
      <c r="AW89" s="117">
        <f t="shared" si="14"/>
        <v>0</v>
      </c>
      <c r="AX89" s="184">
        <f t="shared" si="8"/>
        <v>0</v>
      </c>
      <c r="AY89" s="117">
        <f t="shared" si="11"/>
        <v>0</v>
      </c>
      <c r="AZ89" s="117"/>
    </row>
    <row r="90" spans="44:52" s="14" customFormat="1" ht="14">
      <c r="AR90" s="117" t="str">
        <f t="shared" si="9"/>
        <v/>
      </c>
      <c r="AS90" s="183">
        <f t="shared" si="12"/>
        <v>0</v>
      </c>
      <c r="AT90" s="183"/>
      <c r="AU90" s="183">
        <f t="shared" si="10"/>
        <v>0</v>
      </c>
      <c r="AV90" s="183">
        <f t="shared" si="13"/>
        <v>0</v>
      </c>
      <c r="AW90" s="117">
        <f t="shared" si="14"/>
        <v>0</v>
      </c>
      <c r="AX90" s="184">
        <f t="shared" si="8"/>
        <v>0</v>
      </c>
      <c r="AY90" s="117">
        <f t="shared" si="11"/>
        <v>0</v>
      </c>
      <c r="AZ90" s="117"/>
    </row>
    <row r="91" spans="44:52" s="14" customFormat="1" ht="14">
      <c r="AR91" s="117" t="str">
        <f t="shared" si="9"/>
        <v/>
      </c>
      <c r="AS91" s="183">
        <f t="shared" si="12"/>
        <v>0</v>
      </c>
      <c r="AT91" s="183"/>
      <c r="AU91" s="183">
        <f t="shared" si="10"/>
        <v>0</v>
      </c>
      <c r="AV91" s="183">
        <f t="shared" si="13"/>
        <v>0</v>
      </c>
      <c r="AW91" s="117">
        <f t="shared" si="14"/>
        <v>0</v>
      </c>
      <c r="AX91" s="184">
        <f t="shared" si="8"/>
        <v>0</v>
      </c>
      <c r="AY91" s="117">
        <f t="shared" si="11"/>
        <v>0</v>
      </c>
      <c r="AZ91" s="117"/>
    </row>
    <row r="92" spans="44:52" s="14" customFormat="1" ht="14">
      <c r="AR92" s="117" t="str">
        <f t="shared" si="9"/>
        <v/>
      </c>
      <c r="AS92" s="183">
        <f t="shared" si="12"/>
        <v>0</v>
      </c>
      <c r="AT92" s="183"/>
      <c r="AU92" s="183">
        <f t="shared" si="10"/>
        <v>0</v>
      </c>
      <c r="AV92" s="183">
        <f t="shared" si="13"/>
        <v>0</v>
      </c>
      <c r="AW92" s="117">
        <f t="shared" si="14"/>
        <v>0</v>
      </c>
      <c r="AX92" s="184">
        <f t="shared" si="8"/>
        <v>0</v>
      </c>
      <c r="AY92" s="117">
        <f t="shared" si="11"/>
        <v>0</v>
      </c>
      <c r="AZ92" s="117"/>
    </row>
    <row r="93" spans="44:52" s="14" customFormat="1" ht="14">
      <c r="AR93" s="117" t="str">
        <f t="shared" si="9"/>
        <v/>
      </c>
      <c r="AS93" s="183">
        <f t="shared" si="12"/>
        <v>0</v>
      </c>
      <c r="AT93" s="183"/>
      <c r="AU93" s="183">
        <f t="shared" si="10"/>
        <v>0</v>
      </c>
      <c r="AV93" s="183">
        <f t="shared" si="13"/>
        <v>0</v>
      </c>
      <c r="AW93" s="117">
        <f t="shared" si="14"/>
        <v>0</v>
      </c>
      <c r="AX93" s="184">
        <f t="shared" si="8"/>
        <v>0</v>
      </c>
      <c r="AY93" s="117">
        <f t="shared" si="11"/>
        <v>0</v>
      </c>
      <c r="AZ93" s="117"/>
    </row>
    <row r="94" spans="44:52" s="14" customFormat="1" ht="14">
      <c r="AR94" s="117" t="str">
        <f t="shared" si="9"/>
        <v/>
      </c>
      <c r="AS94" s="183">
        <f t="shared" si="12"/>
        <v>0</v>
      </c>
      <c r="AT94" s="183"/>
      <c r="AU94" s="183">
        <f t="shared" si="10"/>
        <v>0</v>
      </c>
      <c r="AV94" s="183">
        <f t="shared" si="13"/>
        <v>0</v>
      </c>
      <c r="AW94" s="117">
        <f t="shared" si="14"/>
        <v>0</v>
      </c>
      <c r="AX94" s="184">
        <f t="shared" si="8"/>
        <v>0</v>
      </c>
      <c r="AY94" s="117">
        <f t="shared" si="11"/>
        <v>0</v>
      </c>
      <c r="AZ94" s="117"/>
    </row>
    <row r="95" spans="44:52" s="14" customFormat="1" ht="14">
      <c r="AR95" s="117" t="str">
        <f t="shared" si="9"/>
        <v/>
      </c>
      <c r="AS95" s="183">
        <f t="shared" si="12"/>
        <v>0</v>
      </c>
      <c r="AT95" s="183"/>
      <c r="AU95" s="183">
        <f t="shared" si="10"/>
        <v>0</v>
      </c>
      <c r="AV95" s="183">
        <f t="shared" si="13"/>
        <v>0</v>
      </c>
      <c r="AW95" s="117">
        <f t="shared" si="14"/>
        <v>0</v>
      </c>
      <c r="AX95" s="184">
        <f t="shared" si="8"/>
        <v>0</v>
      </c>
      <c r="AY95" s="117">
        <f t="shared" si="11"/>
        <v>0</v>
      </c>
      <c r="AZ95" s="117"/>
    </row>
    <row r="96" spans="44:52" s="14" customFormat="1" ht="14">
      <c r="AR96" s="117" t="str">
        <f t="shared" si="9"/>
        <v/>
      </c>
      <c r="AS96" s="183">
        <f t="shared" si="12"/>
        <v>0</v>
      </c>
      <c r="AT96" s="183"/>
      <c r="AU96" s="183">
        <f t="shared" si="10"/>
        <v>0</v>
      </c>
      <c r="AV96" s="183">
        <f t="shared" si="13"/>
        <v>0</v>
      </c>
      <c r="AW96" s="117">
        <f t="shared" si="14"/>
        <v>0</v>
      </c>
      <c r="AX96" s="184">
        <f t="shared" si="8"/>
        <v>0</v>
      </c>
      <c r="AY96" s="117">
        <f t="shared" si="11"/>
        <v>0</v>
      </c>
      <c r="AZ96" s="117"/>
    </row>
    <row r="97" spans="44:52" s="14" customFormat="1" ht="14">
      <c r="AR97" s="117" t="str">
        <f t="shared" si="9"/>
        <v/>
      </c>
      <c r="AS97" s="183">
        <f t="shared" si="12"/>
        <v>0</v>
      </c>
      <c r="AT97" s="183"/>
      <c r="AU97" s="183">
        <f t="shared" si="10"/>
        <v>0</v>
      </c>
      <c r="AV97" s="183">
        <f t="shared" si="13"/>
        <v>0</v>
      </c>
      <c r="AW97" s="117">
        <f t="shared" si="14"/>
        <v>0</v>
      </c>
      <c r="AX97" s="184">
        <f t="shared" si="8"/>
        <v>0</v>
      </c>
      <c r="AY97" s="117">
        <f t="shared" si="11"/>
        <v>0</v>
      </c>
      <c r="AZ97" s="117"/>
    </row>
    <row r="98" spans="44:52" s="14" customFormat="1" ht="14">
      <c r="AR98" s="117" t="str">
        <f t="shared" si="9"/>
        <v/>
      </c>
      <c r="AS98" s="183">
        <f t="shared" si="12"/>
        <v>0</v>
      </c>
      <c r="AT98" s="183"/>
      <c r="AU98" s="183">
        <f t="shared" si="10"/>
        <v>0</v>
      </c>
      <c r="AV98" s="183">
        <f t="shared" si="13"/>
        <v>0</v>
      </c>
      <c r="AW98" s="117">
        <f t="shared" si="14"/>
        <v>0</v>
      </c>
      <c r="AX98" s="184">
        <f t="shared" si="8"/>
        <v>0</v>
      </c>
      <c r="AY98" s="117">
        <f t="shared" si="11"/>
        <v>0</v>
      </c>
      <c r="AZ98" s="117"/>
    </row>
    <row r="99" spans="44:52" s="14" customFormat="1" ht="14">
      <c r="AR99" s="117" t="str">
        <f t="shared" si="9"/>
        <v/>
      </c>
      <c r="AS99" s="183">
        <f t="shared" si="12"/>
        <v>0</v>
      </c>
      <c r="AT99" s="183"/>
      <c r="AU99" s="183">
        <f t="shared" si="10"/>
        <v>0</v>
      </c>
      <c r="AV99" s="183">
        <f t="shared" si="13"/>
        <v>0</v>
      </c>
      <c r="AW99" s="117">
        <f t="shared" si="14"/>
        <v>0</v>
      </c>
      <c r="AX99" s="184">
        <f t="shared" si="8"/>
        <v>0</v>
      </c>
      <c r="AY99" s="117">
        <f t="shared" si="11"/>
        <v>0</v>
      </c>
      <c r="AZ99" s="117"/>
    </row>
    <row r="100" spans="44:52" s="14" customFormat="1" ht="14">
      <c r="AR100" s="117" t="str">
        <f t="shared" si="9"/>
        <v/>
      </c>
      <c r="AS100" s="183">
        <f t="shared" si="12"/>
        <v>0</v>
      </c>
      <c r="AT100" s="183"/>
      <c r="AU100" s="183">
        <f t="shared" si="10"/>
        <v>0</v>
      </c>
      <c r="AV100" s="183">
        <f t="shared" si="13"/>
        <v>0</v>
      </c>
      <c r="AW100" s="117">
        <f t="shared" si="14"/>
        <v>0</v>
      </c>
      <c r="AX100" s="184">
        <f t="shared" si="8"/>
        <v>0</v>
      </c>
      <c r="AY100" s="117">
        <f t="shared" si="11"/>
        <v>0</v>
      </c>
      <c r="AZ100" s="117"/>
    </row>
    <row r="101" spans="44:52" s="14" customFormat="1" ht="14">
      <c r="AR101" s="117" t="str">
        <f t="shared" si="9"/>
        <v/>
      </c>
      <c r="AS101" s="183">
        <f t="shared" si="12"/>
        <v>0</v>
      </c>
      <c r="AT101" s="183"/>
      <c r="AU101" s="183">
        <f t="shared" si="10"/>
        <v>0</v>
      </c>
      <c r="AV101" s="183">
        <f t="shared" si="13"/>
        <v>0</v>
      </c>
      <c r="AW101" s="117">
        <f t="shared" si="14"/>
        <v>0</v>
      </c>
      <c r="AX101" s="184">
        <f t="shared" si="8"/>
        <v>0</v>
      </c>
      <c r="AY101" s="117">
        <f t="shared" si="11"/>
        <v>0</v>
      </c>
      <c r="AZ101" s="117"/>
    </row>
    <row r="102" spans="44:52" s="14" customFormat="1" ht="14">
      <c r="AR102" s="117" t="str">
        <f t="shared" si="9"/>
        <v/>
      </c>
      <c r="AS102" s="183">
        <f t="shared" si="12"/>
        <v>0</v>
      </c>
      <c r="AT102" s="183"/>
      <c r="AU102" s="183">
        <f t="shared" si="10"/>
        <v>0</v>
      </c>
      <c r="AV102" s="183">
        <f t="shared" si="13"/>
        <v>0</v>
      </c>
      <c r="AW102" s="117">
        <f t="shared" si="14"/>
        <v>0</v>
      </c>
      <c r="AX102" s="184">
        <f t="shared" ref="AX102:AX113" si="15">LN(AW102+$J$36)-LN($J$36)</f>
        <v>0</v>
      </c>
      <c r="AY102" s="117">
        <f t="shared" si="11"/>
        <v>0</v>
      </c>
      <c r="AZ102" s="117"/>
    </row>
    <row r="103" spans="44:52" s="14" customFormat="1" ht="14">
      <c r="AR103" s="117" t="str">
        <f t="shared" si="9"/>
        <v/>
      </c>
      <c r="AS103" s="183">
        <f t="shared" si="12"/>
        <v>0</v>
      </c>
      <c r="AT103" s="183"/>
      <c r="AU103" s="183">
        <f t="shared" si="10"/>
        <v>0</v>
      </c>
      <c r="AV103" s="183">
        <f t="shared" si="13"/>
        <v>0</v>
      </c>
      <c r="AW103" s="117">
        <f t="shared" si="14"/>
        <v>0</v>
      </c>
      <c r="AX103" s="184">
        <f t="shared" si="15"/>
        <v>0</v>
      </c>
      <c r="AY103" s="117">
        <f t="shared" si="11"/>
        <v>0</v>
      </c>
      <c r="AZ103" s="117"/>
    </row>
    <row r="104" spans="44:52" s="14" customFormat="1" ht="14">
      <c r="AR104" s="117" t="str">
        <f t="shared" si="9"/>
        <v/>
      </c>
      <c r="AS104" s="183">
        <f t="shared" si="12"/>
        <v>0</v>
      </c>
      <c r="AT104" s="183"/>
      <c r="AU104" s="183">
        <f t="shared" si="10"/>
        <v>0</v>
      </c>
      <c r="AV104" s="183">
        <f t="shared" si="13"/>
        <v>0</v>
      </c>
      <c r="AW104" s="117">
        <f t="shared" si="14"/>
        <v>0</v>
      </c>
      <c r="AX104" s="184">
        <f t="shared" si="15"/>
        <v>0</v>
      </c>
      <c r="AY104" s="117">
        <f t="shared" si="11"/>
        <v>0</v>
      </c>
      <c r="AZ104" s="117"/>
    </row>
    <row r="105" spans="44:52" s="14" customFormat="1" ht="14">
      <c r="AR105" s="117" t="str">
        <f t="shared" si="9"/>
        <v/>
      </c>
      <c r="AS105" s="183">
        <f t="shared" si="12"/>
        <v>0</v>
      </c>
      <c r="AT105" s="183"/>
      <c r="AU105" s="183">
        <f t="shared" si="10"/>
        <v>0</v>
      </c>
      <c r="AV105" s="183">
        <f t="shared" si="13"/>
        <v>0</v>
      </c>
      <c r="AW105" s="117">
        <f t="shared" si="14"/>
        <v>0</v>
      </c>
      <c r="AX105" s="184">
        <f t="shared" si="15"/>
        <v>0</v>
      </c>
      <c r="AY105" s="117">
        <f t="shared" si="11"/>
        <v>0</v>
      </c>
      <c r="AZ105" s="117"/>
    </row>
    <row r="106" spans="44:52" s="14" customFormat="1" ht="14">
      <c r="AR106" s="117" t="str">
        <f t="shared" si="9"/>
        <v/>
      </c>
      <c r="AS106" s="183">
        <f t="shared" si="12"/>
        <v>0</v>
      </c>
      <c r="AT106" s="183"/>
      <c r="AU106" s="183">
        <f t="shared" si="10"/>
        <v>0</v>
      </c>
      <c r="AV106" s="183">
        <f t="shared" si="13"/>
        <v>0</v>
      </c>
      <c r="AW106" s="117">
        <f t="shared" si="14"/>
        <v>0</v>
      </c>
      <c r="AX106" s="184">
        <f t="shared" si="15"/>
        <v>0</v>
      </c>
      <c r="AY106" s="117">
        <f t="shared" si="11"/>
        <v>0</v>
      </c>
      <c r="AZ106" s="117"/>
    </row>
    <row r="107" spans="44:52" s="14" customFormat="1" ht="14">
      <c r="AR107" s="117" t="str">
        <f t="shared" si="9"/>
        <v/>
      </c>
      <c r="AS107" s="183">
        <f t="shared" si="12"/>
        <v>0</v>
      </c>
      <c r="AT107" s="183"/>
      <c r="AU107" s="183">
        <f t="shared" si="10"/>
        <v>0</v>
      </c>
      <c r="AV107" s="183">
        <f t="shared" si="13"/>
        <v>0</v>
      </c>
      <c r="AW107" s="117">
        <f t="shared" si="14"/>
        <v>0</v>
      </c>
      <c r="AX107" s="184">
        <f t="shared" si="15"/>
        <v>0</v>
      </c>
      <c r="AY107" s="117">
        <f t="shared" si="11"/>
        <v>0</v>
      </c>
      <c r="AZ107" s="117"/>
    </row>
    <row r="108" spans="44:52" s="14" customFormat="1" ht="14">
      <c r="AR108" s="117" t="str">
        <f t="shared" si="9"/>
        <v/>
      </c>
      <c r="AS108" s="183">
        <f t="shared" si="12"/>
        <v>0</v>
      </c>
      <c r="AT108" s="183"/>
      <c r="AU108" s="183">
        <f t="shared" si="10"/>
        <v>0</v>
      </c>
      <c r="AV108" s="183">
        <f t="shared" si="13"/>
        <v>0</v>
      </c>
      <c r="AW108" s="117">
        <f t="shared" si="14"/>
        <v>0</v>
      </c>
      <c r="AX108" s="184">
        <f t="shared" si="15"/>
        <v>0</v>
      </c>
      <c r="AY108" s="117">
        <f t="shared" si="11"/>
        <v>0</v>
      </c>
      <c r="AZ108" s="117"/>
    </row>
    <row r="109" spans="44:52" s="14" customFormat="1" ht="14">
      <c r="AR109" s="117" t="str">
        <f t="shared" si="9"/>
        <v/>
      </c>
      <c r="AS109" s="183">
        <f t="shared" si="12"/>
        <v>0</v>
      </c>
      <c r="AT109" s="183"/>
      <c r="AU109" s="183">
        <f t="shared" si="10"/>
        <v>0</v>
      </c>
      <c r="AV109" s="183">
        <f t="shared" si="13"/>
        <v>0</v>
      </c>
      <c r="AW109" s="117">
        <f t="shared" si="14"/>
        <v>0</v>
      </c>
      <c r="AX109" s="184">
        <f t="shared" si="15"/>
        <v>0</v>
      </c>
      <c r="AY109" s="117">
        <f t="shared" si="11"/>
        <v>0</v>
      </c>
      <c r="AZ109" s="117"/>
    </row>
    <row r="110" spans="44:52" s="14" customFormat="1" ht="14">
      <c r="AR110" s="117" t="str">
        <f t="shared" si="9"/>
        <v/>
      </c>
      <c r="AS110" s="183">
        <f t="shared" si="12"/>
        <v>0</v>
      </c>
      <c r="AT110" s="183"/>
      <c r="AU110" s="183">
        <f t="shared" si="10"/>
        <v>0</v>
      </c>
      <c r="AV110" s="183">
        <f t="shared" si="13"/>
        <v>0</v>
      </c>
      <c r="AW110" s="117">
        <f t="shared" si="14"/>
        <v>0</v>
      </c>
      <c r="AX110" s="184">
        <f t="shared" si="15"/>
        <v>0</v>
      </c>
      <c r="AY110" s="117">
        <f t="shared" si="11"/>
        <v>0</v>
      </c>
      <c r="AZ110" s="117"/>
    </row>
    <row r="111" spans="44:52" s="14" customFormat="1" ht="14">
      <c r="AR111" s="117" t="str">
        <f t="shared" si="9"/>
        <v/>
      </c>
      <c r="AS111" s="183">
        <f t="shared" si="12"/>
        <v>0</v>
      </c>
      <c r="AT111" s="183"/>
      <c r="AU111" s="183">
        <f t="shared" si="10"/>
        <v>0</v>
      </c>
      <c r="AV111" s="183">
        <f t="shared" si="13"/>
        <v>0</v>
      </c>
      <c r="AW111" s="117">
        <f t="shared" si="14"/>
        <v>0</v>
      </c>
      <c r="AX111" s="184">
        <f t="shared" si="15"/>
        <v>0</v>
      </c>
      <c r="AY111" s="117">
        <f t="shared" si="11"/>
        <v>0</v>
      </c>
      <c r="AZ111" s="117"/>
    </row>
    <row r="112" spans="44:52" s="14" customFormat="1" ht="14">
      <c r="AR112" s="117" t="str">
        <f t="shared" si="9"/>
        <v/>
      </c>
      <c r="AS112" s="183">
        <f t="shared" si="12"/>
        <v>0</v>
      </c>
      <c r="AT112" s="183"/>
      <c r="AU112" s="183">
        <f t="shared" si="10"/>
        <v>0</v>
      </c>
      <c r="AV112" s="183">
        <f t="shared" si="13"/>
        <v>0</v>
      </c>
      <c r="AW112" s="117">
        <f t="shared" si="14"/>
        <v>0</v>
      </c>
      <c r="AX112" s="184">
        <f t="shared" si="15"/>
        <v>0</v>
      </c>
      <c r="AY112" s="117">
        <f t="shared" si="11"/>
        <v>0</v>
      </c>
      <c r="AZ112" s="117"/>
    </row>
    <row r="113" spans="44:52" s="14" customFormat="1" ht="14">
      <c r="AR113" s="117" t="str">
        <f t="shared" si="9"/>
        <v/>
      </c>
      <c r="AS113" s="183">
        <f t="shared" si="12"/>
        <v>0</v>
      </c>
      <c r="AT113" s="183"/>
      <c r="AU113" s="183">
        <f t="shared" si="10"/>
        <v>0</v>
      </c>
      <c r="AV113" s="183">
        <f t="shared" si="13"/>
        <v>0</v>
      </c>
      <c r="AW113" s="117">
        <f t="shared" si="14"/>
        <v>0</v>
      </c>
      <c r="AX113" s="184">
        <f t="shared" si="15"/>
        <v>0</v>
      </c>
      <c r="AY113" s="117">
        <f t="shared" si="11"/>
        <v>0</v>
      </c>
      <c r="AZ113" s="117"/>
    </row>
    <row r="114" spans="44:52" s="14" customFormat="1" ht="14">
      <c r="AZ114" s="117"/>
    </row>
    <row r="115" spans="44:52" s="14" customFormat="1" ht="14">
      <c r="AZ115" s="117"/>
    </row>
    <row r="116" spans="44:52" s="14" customFormat="1" ht="14">
      <c r="AZ116" s="117"/>
    </row>
    <row r="117" spans="44:52" s="14" customFormat="1" ht="14">
      <c r="AZ117" s="117"/>
    </row>
    <row r="118" spans="44:52" ht="14">
      <c r="AZ118"/>
    </row>
  </sheetData>
  <mergeCells count="59">
    <mergeCell ref="G37:Q37"/>
    <mergeCell ref="R37:T37"/>
    <mergeCell ref="B35:B37"/>
    <mergeCell ref="D35:F35"/>
    <mergeCell ref="H35:I35"/>
    <mergeCell ref="J35:N35"/>
    <mergeCell ref="O35:P35"/>
    <mergeCell ref="D36:F36"/>
    <mergeCell ref="H36:I36"/>
    <mergeCell ref="J36:N36"/>
    <mergeCell ref="O36:P36"/>
    <mergeCell ref="D37:F37"/>
    <mergeCell ref="B23:E26"/>
    <mergeCell ref="Q25:Q28"/>
    <mergeCell ref="R29:V29"/>
    <mergeCell ref="R30:V30"/>
    <mergeCell ref="F31:F33"/>
    <mergeCell ref="R31:V31"/>
    <mergeCell ref="F21:F24"/>
    <mergeCell ref="R21:S22"/>
    <mergeCell ref="U21:W22"/>
    <mergeCell ref="Q18:Q19"/>
    <mergeCell ref="T18:U18"/>
    <mergeCell ref="V18:W18"/>
    <mergeCell ref="T19:U19"/>
    <mergeCell ref="V19:W19"/>
    <mergeCell ref="C16:C17"/>
    <mergeCell ref="D16:D17"/>
    <mergeCell ref="F16:F17"/>
    <mergeCell ref="G16:G17"/>
    <mergeCell ref="S16:T16"/>
    <mergeCell ref="T10:U10"/>
    <mergeCell ref="T11:U11"/>
    <mergeCell ref="Q13:Q16"/>
    <mergeCell ref="T13:U13"/>
    <mergeCell ref="B14:B18"/>
    <mergeCell ref="C14:C15"/>
    <mergeCell ref="D14:D15"/>
    <mergeCell ref="F14:F15"/>
    <mergeCell ref="G14:G15"/>
    <mergeCell ref="T14:U14"/>
    <mergeCell ref="B7:B11"/>
    <mergeCell ref="Q8:Q11"/>
    <mergeCell ref="T8:U8"/>
    <mergeCell ref="C9:D9"/>
    <mergeCell ref="T9:U9"/>
    <mergeCell ref="T15:U15"/>
    <mergeCell ref="C6:D6"/>
    <mergeCell ref="I6:J6"/>
    <mergeCell ref="L6:M6"/>
    <mergeCell ref="T6:U6"/>
    <mergeCell ref="V6:W6"/>
    <mergeCell ref="S2:T3"/>
    <mergeCell ref="B4:D5"/>
    <mergeCell ref="F4:G5"/>
    <mergeCell ref="T4:U4"/>
    <mergeCell ref="V4:W4"/>
    <mergeCell ref="T5:U5"/>
    <mergeCell ref="V5:W5"/>
  </mergeCells>
  <hyperlinks>
    <hyperlink ref="G37" r:id="rId1" location="Grantstructure"/>
  </hyperlinks>
  <pageMargins left="0.7" right="0.7" top="0.75" bottom="0.75" header="0.3" footer="0.3"/>
  <pageSetup orientation="portrait"/>
  <drawing r:id="rId2"/>
  <legacyDrawing r:id="rId3"/>
  <extLst>
    <ext xmlns:x14="http://schemas.microsoft.com/office/spreadsheetml/2009/9/main" uri="{CCE6A557-97BC-4b89-ADB6-D9C93CAAB3DF}">
      <x14:dataValidations xmlns:xm="http://schemas.microsoft.com/office/excel/2006/main" count="34">
        <x14:dataValidation type="list" allowBlank="1" showInputMessage="1">
          <x14:formula1>
            <xm:f>Parameters!$C$7:$G$7</xm:f>
          </x14:formula1>
          <xm:sqref>D16:D17</xm:sqref>
        </x14:dataValidation>
        <x14:dataValidation type="list" allowBlank="1" showInputMessage="1">
          <x14:formula1>
            <xm:f>Parameters!$C$25:$G$25</xm:f>
          </x14:formula1>
          <xm:sqref>J14 K15</xm:sqref>
        </x14:dataValidation>
        <x14:dataValidation type="list" allowBlank="1" showInputMessage="1">
          <x14:formula1>
            <xm:f>Parameters!$C$18:$G$18</xm:f>
          </x14:formula1>
          <xm:sqref>J15 K14</xm:sqref>
        </x14:dataValidation>
        <x14:dataValidation type="list" allowBlank="1" showInputMessage="1">
          <x14:formula1>
            <xm:f>Parameters!$C$27:$G$27</xm:f>
          </x14:formula1>
          <xm:sqref>J11 K9</xm:sqref>
        </x14:dataValidation>
        <x14:dataValidation type="list" allowBlank="1" showInputMessage="1">
          <x14:formula1>
            <xm:f>Parameters!$C$28:$G$28</xm:f>
          </x14:formula1>
          <xm:sqref>J9</xm:sqref>
        </x14:dataValidation>
        <x14:dataValidation type="list" allowBlank="1" showInputMessage="1">
          <x14:formula1>
            <xm:f>Parameters!$C$55:$G$55</xm:f>
          </x14:formula1>
          <xm:sqref>M15</xm:sqref>
        </x14:dataValidation>
        <x14:dataValidation type="list" allowBlank="1" showInputMessage="1">
          <x14:formula1>
            <xm:f>Parameters!$C$54:$G$54</xm:f>
          </x14:formula1>
          <xm:sqref>M14</xm:sqref>
        </x14:dataValidation>
        <x14:dataValidation type="list" allowBlank="1" showInputMessage="1">
          <x14:formula1>
            <xm:f>Parameters!$C$53:$G$53</xm:f>
          </x14:formula1>
          <xm:sqref>M13</xm:sqref>
        </x14:dataValidation>
        <x14:dataValidation type="list" allowBlank="1" showInputMessage="1">
          <x14:formula1>
            <xm:f>Parameters!$C$52:$G$52</xm:f>
          </x14:formula1>
          <xm:sqref>M12</xm:sqref>
        </x14:dataValidation>
        <x14:dataValidation type="list" allowBlank="1" showInputMessage="1">
          <x14:formula1>
            <xm:f>Parameters!$C$51:$G$51</xm:f>
          </x14:formula1>
          <xm:sqref>M11</xm:sqref>
        </x14:dataValidation>
        <x14:dataValidation type="list" allowBlank="1" showInputMessage="1">
          <x14:formula1>
            <xm:f>Parameters!$C$50:$G$50</xm:f>
          </x14:formula1>
          <xm:sqref>M10</xm:sqref>
        </x14:dataValidation>
        <x14:dataValidation type="list" allowBlank="1" showInputMessage="1">
          <x14:formula1>
            <xm:f>Parameters!$C$49:$G$49</xm:f>
          </x14:formula1>
          <xm:sqref>M9</xm:sqref>
        </x14:dataValidation>
        <x14:dataValidation type="list" allowBlank="1" showInputMessage="1">
          <x14:formula1>
            <xm:f>Parameters!$C$48:$G$48</xm:f>
          </x14:formula1>
          <xm:sqref>M8</xm:sqref>
        </x14:dataValidation>
        <x14:dataValidation type="list" allowBlank="1" showInputMessage="1">
          <x14:formula1>
            <xm:f>Parameters!$C$47:$G$47</xm:f>
          </x14:formula1>
          <xm:sqref>M7</xm:sqref>
        </x14:dataValidation>
        <x14:dataValidation type="list" allowBlank="1" showInputMessage="1">
          <x14:formula1>
            <xm:f>Parameters!$C$19:$G$19</xm:f>
          </x14:formula1>
          <xm:sqref>J8</xm:sqref>
        </x14:dataValidation>
        <x14:dataValidation type="list" allowBlank="1" showInputMessage="1">
          <x14:formula1>
            <xm:f>Parameters!$D$19:$H$19</xm:f>
          </x14:formula1>
          <xm:sqref>K10</xm:sqref>
        </x14:dataValidation>
        <x14:dataValidation type="list" allowBlank="1" showInputMessage="1">
          <x14:formula1>
            <xm:f>Parameters!$C$26:$G$26</xm:f>
          </x14:formula1>
          <xm:sqref>J7</xm:sqref>
        </x14:dataValidation>
        <x14:dataValidation type="list" allowBlank="1" showInputMessage="1">
          <x14:formula1>
            <xm:f>Parameters!$D$26:$F$26</xm:f>
          </x14:formula1>
          <xm:sqref>K7</xm:sqref>
        </x14:dataValidation>
        <x14:dataValidation type="list" allowBlank="1" showInputMessage="1">
          <x14:formula1>
            <xm:f>Parameters!$C$21:$G$21</xm:f>
          </x14:formula1>
          <xm:sqref>J10</xm:sqref>
        </x14:dataValidation>
        <x14:dataValidation type="list" allowBlank="1" showInputMessage="1">
          <x14:formula1>
            <xm:f>Parameters!$C$24:$G$24</xm:f>
          </x14:formula1>
          <xm:sqref>J16:K16</xm:sqref>
        </x14:dataValidation>
        <x14:dataValidation type="list" allowBlank="1" showInputMessage="1">
          <x14:formula1>
            <xm:f>Parameters!$C$20:$G$20</xm:f>
          </x14:formula1>
          <xm:sqref>J18:K18</xm:sqref>
        </x14:dataValidation>
        <x14:dataValidation type="list" allowBlank="1" showInputMessage="1">
          <x14:formula1>
            <xm:f>Parameters!$C$17:$G$17</xm:f>
          </x14:formula1>
          <xm:sqref>J17:K17</xm:sqref>
        </x14:dataValidation>
        <x14:dataValidation type="list" allowBlank="1" showInputMessage="1">
          <x14:formula1>
            <xm:f>Parameters!$C$10:$G$10</xm:f>
          </x14:formula1>
          <xm:sqref>D7</xm:sqref>
        </x14:dataValidation>
        <x14:dataValidation type="list" allowBlank="1" showInputMessage="1">
          <x14:formula1>
            <xm:f>Parameters!$C$4:$G$4</xm:f>
          </x14:formula1>
          <xm:sqref>D10</xm:sqref>
        </x14:dataValidation>
        <x14:dataValidation type="list" allowBlank="1" showInputMessage="1">
          <x14:formula1>
            <xm:f>Parameters!$C$5:$G$5</xm:f>
          </x14:formula1>
          <xm:sqref>D11</xm:sqref>
        </x14:dataValidation>
        <x14:dataValidation type="list" allowBlank="1" showInputMessage="1">
          <x14:formula1>
            <xm:f>Parameters!$C$6:$G$6</xm:f>
          </x14:formula1>
          <xm:sqref>D14</xm:sqref>
        </x14:dataValidation>
        <x14:dataValidation type="list" allowBlank="1" showInputMessage="1">
          <x14:formula1>
            <xm:f>Parameters!$C$11:$G$11</xm:f>
          </x14:formula1>
          <xm:sqref>G7</xm:sqref>
        </x14:dataValidation>
        <x14:dataValidation type="list" allowBlank="1" showInputMessage="1">
          <x14:formula1>
            <xm:f>Parameters!$C$12:$G$12</xm:f>
          </x14:formula1>
          <xm:sqref>G9</xm:sqref>
        </x14:dataValidation>
        <x14:dataValidation type="list" allowBlank="1" showInputMessage="1">
          <x14:formula1>
            <xm:f>Parameters!$C$38:$G$38</xm:f>
          </x14:formula1>
          <xm:sqref>G11</xm:sqref>
        </x14:dataValidation>
        <x14:dataValidation type="list" allowBlank="1" showInputMessage="1">
          <x14:formula1>
            <xm:f>Parameters!$C$37:$G$37</xm:f>
          </x14:formula1>
          <xm:sqref>G14</xm:sqref>
        </x14:dataValidation>
        <x14:dataValidation type="list" allowBlank="1" showInputMessage="1">
          <x14:formula1>
            <xm:f>Parameters!$C$34:$G$34</xm:f>
          </x14:formula1>
          <xm:sqref>G16</xm:sqref>
        </x14:dataValidation>
        <x14:dataValidation type="list" allowBlank="1" showInputMessage="1">
          <x14:formula1>
            <xm:f>Parameters!$C$36:$G$36</xm:f>
          </x14:formula1>
          <xm:sqref>G18</xm:sqref>
        </x14:dataValidation>
        <x14:dataValidation type="list" allowBlank="1" showInputMessage="1">
          <x14:formula1>
            <xm:f>Parameters!$C$13:$G$13</xm:f>
          </x14:formula1>
          <xm:sqref>G8</xm:sqref>
        </x14:dataValidation>
        <x14:dataValidation type="list" allowBlank="1" showInputMessage="1">
          <x14:formula1>
            <xm:f>Parameters!$C$14:$G$14</xm:f>
          </x14:formula1>
          <xm:sqref>G10</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8"/>
  <sheetViews>
    <sheetView topLeftCell="A4" zoomScale="85" zoomScaleNormal="85" zoomScalePageLayoutView="85" workbookViewId="0">
      <selection activeCell="K9" sqref="K9"/>
    </sheetView>
  </sheetViews>
  <sheetFormatPr baseColWidth="10" defaultColWidth="8.83203125" defaultRowHeight="11" x14ac:dyDescent="0"/>
  <cols>
    <col min="1" max="1" width="1.5" style="1" customWidth="1"/>
    <col min="2" max="2" width="9.33203125" style="1" customWidth="1"/>
    <col min="3" max="3" width="14.5" style="1" customWidth="1"/>
    <col min="4" max="4" width="5.83203125" style="1" customWidth="1"/>
    <col min="5" max="5" width="1.83203125" style="1" customWidth="1"/>
    <col min="6" max="6" width="18" style="1" customWidth="1"/>
    <col min="7" max="7" width="13.5" style="1" customWidth="1"/>
    <col min="8" max="8" width="1.33203125" style="1" customWidth="1"/>
    <col min="9" max="9" width="16.33203125" style="1" customWidth="1"/>
    <col min="10" max="10" width="8.5" style="1" customWidth="1"/>
    <col min="11" max="11" width="1.6640625" style="1" customWidth="1"/>
    <col min="12" max="12" width="22.83203125" style="1" customWidth="1"/>
    <col min="13" max="13" width="8.5" style="1" customWidth="1"/>
    <col min="14" max="14" width="0.83203125" style="1" customWidth="1"/>
    <col min="15" max="15" width="2.83203125" style="1" customWidth="1"/>
    <col min="16" max="16" width="2.6640625" style="1" customWidth="1"/>
    <col min="17" max="17" width="15.5" style="1" customWidth="1"/>
    <col min="18" max="18" width="30.83203125" style="1" customWidth="1"/>
    <col min="19" max="19" width="23.5" style="1" customWidth="1"/>
    <col min="20" max="20" width="1" style="1" customWidth="1"/>
    <col min="21" max="21" width="24.33203125" style="1" customWidth="1"/>
    <col min="22" max="22" width="10.6640625" style="1" customWidth="1"/>
    <col min="23" max="23" width="12.5" style="1" customWidth="1"/>
    <col min="24" max="24" width="13.6640625" style="1" customWidth="1"/>
    <col min="25" max="25" width="12.83203125" style="1" customWidth="1"/>
    <col min="26" max="16384" width="8.83203125" style="1"/>
  </cols>
  <sheetData>
    <row r="1" spans="1:53" ht="6" customHeight="1" thickBot="1">
      <c r="A1" s="54"/>
      <c r="B1" s="14"/>
      <c r="C1" s="14"/>
      <c r="D1" s="14"/>
      <c r="E1" s="14"/>
      <c r="F1" s="14"/>
      <c r="G1" s="14"/>
      <c r="H1" s="14"/>
      <c r="I1" s="14"/>
      <c r="J1" s="14"/>
      <c r="K1" s="14"/>
      <c r="L1" s="14"/>
      <c r="M1" s="14"/>
      <c r="N1" s="14"/>
      <c r="O1" s="14"/>
      <c r="P1" s="14"/>
      <c r="Q1" s="14"/>
      <c r="R1" s="25"/>
      <c r="S1" s="14"/>
      <c r="T1" s="14"/>
      <c r="U1" s="14"/>
      <c r="V1" s="14"/>
      <c r="W1" s="14"/>
      <c r="X1" s="14"/>
      <c r="Y1" s="14"/>
      <c r="Z1" s="14"/>
      <c r="AA1" s="14"/>
      <c r="AB1" s="14"/>
      <c r="AC1" s="14"/>
      <c r="AD1" s="14"/>
      <c r="AE1" s="14"/>
      <c r="AF1" s="14"/>
      <c r="AG1" s="14"/>
      <c r="AH1" s="14"/>
      <c r="AI1" s="14"/>
      <c r="AJ1" s="14"/>
      <c r="AK1" s="14"/>
      <c r="AL1" s="14"/>
      <c r="AM1" s="14"/>
      <c r="AN1" s="14"/>
      <c r="AO1" s="14"/>
      <c r="AP1" s="14"/>
    </row>
    <row r="2" spans="1:53" ht="10.25" customHeight="1">
      <c r="A2" s="14"/>
      <c r="B2" s="14"/>
      <c r="C2" s="222"/>
      <c r="D2" s="17"/>
      <c r="E2" s="17"/>
      <c r="F2" s="17"/>
      <c r="G2" s="17"/>
      <c r="H2" s="17"/>
      <c r="I2" s="17"/>
      <c r="J2" s="54"/>
      <c r="K2" s="54"/>
      <c r="L2" s="54"/>
      <c r="M2" s="54"/>
      <c r="N2" s="14"/>
      <c r="O2" s="14"/>
      <c r="P2" s="14"/>
      <c r="Q2" s="14"/>
      <c r="S2" s="302" t="s">
        <v>233</v>
      </c>
      <c r="T2" s="303"/>
      <c r="U2" s="195"/>
      <c r="V2" s="195"/>
      <c r="W2" s="195"/>
      <c r="X2" s="14"/>
      <c r="Y2" s="14"/>
      <c r="Z2" s="14"/>
      <c r="AA2" s="14"/>
      <c r="AB2" s="14"/>
      <c r="AC2" s="14"/>
      <c r="AD2" s="14"/>
      <c r="AE2" s="14"/>
      <c r="AF2" s="14"/>
      <c r="AG2" s="14"/>
      <c r="AH2" s="14"/>
      <c r="AI2" s="14"/>
      <c r="AJ2" s="14"/>
      <c r="AK2" s="14"/>
      <c r="AL2" s="14"/>
      <c r="AM2" s="14"/>
      <c r="AN2" s="14"/>
      <c r="AO2" s="14"/>
      <c r="AP2" s="14"/>
      <c r="AR2" t="s">
        <v>133</v>
      </c>
      <c r="AS2" t="s">
        <v>134</v>
      </c>
      <c r="AT2" t="s">
        <v>135</v>
      </c>
      <c r="AU2" t="s">
        <v>136</v>
      </c>
      <c r="AV2" t="s">
        <v>137</v>
      </c>
      <c r="AW2" t="s">
        <v>138</v>
      </c>
      <c r="AX2" t="s">
        <v>139</v>
      </c>
      <c r="AY2" t="s">
        <v>168</v>
      </c>
      <c r="AZ2" t="s">
        <v>141</v>
      </c>
    </row>
    <row r="3" spans="1:53" ht="10.25" customHeight="1" thickBot="1">
      <c r="A3" s="14"/>
      <c r="B3" s="222"/>
      <c r="C3" s="222"/>
      <c r="D3" s="17"/>
      <c r="E3" s="17"/>
      <c r="F3" s="17"/>
      <c r="G3" s="17"/>
      <c r="H3" s="17"/>
      <c r="I3" s="17"/>
      <c r="J3" s="54"/>
      <c r="K3" s="54"/>
      <c r="L3" s="54"/>
      <c r="M3" s="54"/>
      <c r="N3" s="14"/>
      <c r="O3" s="14"/>
      <c r="P3" s="14"/>
      <c r="Q3" s="14"/>
      <c r="R3" s="195"/>
      <c r="S3" s="304"/>
      <c r="T3" s="305"/>
      <c r="U3" s="195"/>
      <c r="V3" s="195"/>
      <c r="W3" s="195"/>
      <c r="X3" s="14"/>
      <c r="Y3" s="14"/>
      <c r="Z3" s="14"/>
      <c r="AA3" s="14"/>
      <c r="AB3" s="14"/>
      <c r="AC3" s="14"/>
      <c r="AD3" s="14"/>
      <c r="AE3" s="14"/>
      <c r="AF3" s="14"/>
      <c r="AG3" s="14"/>
      <c r="AH3" s="14"/>
      <c r="AI3" s="14"/>
      <c r="AJ3" s="14"/>
      <c r="AK3" s="14"/>
      <c r="AL3" s="14"/>
      <c r="AM3" s="14"/>
      <c r="AN3" s="14"/>
      <c r="AO3" s="14"/>
      <c r="AP3" s="14"/>
      <c r="AR3"/>
      <c r="AS3"/>
      <c r="AT3"/>
      <c r="AU3"/>
      <c r="AV3"/>
      <c r="AW3"/>
      <c r="AX3"/>
      <c r="AY3"/>
      <c r="AZ3"/>
    </row>
    <row r="4" spans="1:53" ht="40.75" customHeight="1">
      <c r="A4" s="14"/>
      <c r="B4" s="317" t="s">
        <v>295</v>
      </c>
      <c r="C4" s="317"/>
      <c r="D4" s="317"/>
      <c r="E4" s="224"/>
      <c r="F4" s="313" t="s">
        <v>232</v>
      </c>
      <c r="G4" s="314"/>
      <c r="H4" s="17"/>
      <c r="I4" s="14"/>
      <c r="J4" s="14"/>
      <c r="K4" s="14"/>
      <c r="L4" s="14"/>
      <c r="M4" s="14"/>
      <c r="N4" s="77"/>
      <c r="O4" s="77"/>
      <c r="P4" s="77"/>
      <c r="Q4" s="189"/>
      <c r="R4" s="212" t="s">
        <v>213</v>
      </c>
      <c r="S4" s="212" t="s">
        <v>30</v>
      </c>
      <c r="T4" s="298" t="s">
        <v>214</v>
      </c>
      <c r="U4" s="298"/>
      <c r="V4" s="298" t="s">
        <v>215</v>
      </c>
      <c r="W4" s="299"/>
      <c r="X4" s="14"/>
      <c r="Y4" s="14"/>
      <c r="Z4" s="14"/>
      <c r="AA4" s="14"/>
      <c r="AB4" s="14"/>
      <c r="AC4" s="14"/>
      <c r="AD4" s="14"/>
      <c r="AE4" s="14"/>
      <c r="AF4" s="14"/>
      <c r="AG4" s="14"/>
      <c r="AH4" s="14"/>
      <c r="AI4" s="14"/>
      <c r="AJ4" s="14"/>
      <c r="AK4" s="14"/>
      <c r="AL4" s="14"/>
      <c r="AM4" s="14"/>
      <c r="AN4" s="14"/>
      <c r="AO4" s="14"/>
      <c r="AP4" s="14"/>
      <c r="AR4">
        <v>0</v>
      </c>
      <c r="AS4" s="85">
        <f>Q36</f>
        <v>288</v>
      </c>
      <c r="AT4" s="85">
        <f>(1-$D$11)*AS4</f>
        <v>216</v>
      </c>
      <c r="AU4" s="85"/>
      <c r="AV4"/>
      <c r="AW4">
        <f>IF(ISNUMBER(AR5),SUM(AT4:AU4),SUM(AT4:AV4))</f>
        <v>216</v>
      </c>
      <c r="AX4" s="86">
        <f t="shared" ref="AX4:AX30" si="0">LN(AW4+$J$36)-LN($J$36)</f>
        <v>0.56272869303125006</v>
      </c>
      <c r="AY4">
        <f>IF(ISNUMBER(AR4),AX4/(1+$D$7)^AR4,0)</f>
        <v>0.56272869303125006</v>
      </c>
      <c r="AZ4"/>
    </row>
    <row r="5" spans="1:53" ht="10.75" customHeight="1" thickBot="1">
      <c r="A5" s="14"/>
      <c r="B5" s="318"/>
      <c r="C5" s="318"/>
      <c r="D5" s="318"/>
      <c r="E5" s="223"/>
      <c r="F5" s="315"/>
      <c r="G5" s="316"/>
      <c r="H5" s="27"/>
      <c r="I5" s="27"/>
      <c r="J5" s="14"/>
      <c r="K5" s="14"/>
      <c r="L5" s="14"/>
      <c r="M5" s="14"/>
      <c r="N5" s="14"/>
      <c r="O5" s="14"/>
      <c r="P5" s="14"/>
      <c r="Q5" s="206" t="s">
        <v>236</v>
      </c>
      <c r="R5" s="205">
        <f>D36/(1+D7)^10</f>
        <v>0.1553200531458121</v>
      </c>
      <c r="S5" s="205">
        <f>R5*(1-1/(1+D7)^G16)/(1-1/(1+D7))</f>
        <v>2.7984077146577926</v>
      </c>
      <c r="T5" s="300">
        <f>S5*G7*G9*G18*G8/G36</f>
        <v>6.3235740422113884E-2</v>
      </c>
      <c r="U5" s="300"/>
      <c r="V5" s="300">
        <f>G14*G11</f>
        <v>5.0448089055868213E-3</v>
      </c>
      <c r="W5" s="301"/>
      <c r="X5" s="14"/>
      <c r="Y5" s="14"/>
      <c r="Z5" s="14"/>
      <c r="AA5" s="14"/>
      <c r="AB5" s="14"/>
      <c r="AC5" s="14"/>
      <c r="AD5" s="14"/>
      <c r="AE5" s="14"/>
      <c r="AF5" s="14"/>
      <c r="AG5" s="14"/>
      <c r="AH5" s="14"/>
      <c r="AI5" s="14"/>
      <c r="AJ5" s="14"/>
      <c r="AK5" s="14"/>
      <c r="AL5" s="14"/>
      <c r="AM5" s="14"/>
      <c r="AN5" s="14"/>
      <c r="AO5" s="14"/>
      <c r="AP5" s="14"/>
      <c r="AR5">
        <f t="shared" ref="AR5:AR68" si="1">IF(AR4&lt;$D$14,AR4+1,"")</f>
        <v>1</v>
      </c>
      <c r="AS5" s="85">
        <f>AS4-AT4</f>
        <v>72</v>
      </c>
      <c r="AT5" s="85"/>
      <c r="AU5" s="85">
        <f t="shared" ref="AU5:AU70" si="2">$D$10*AS5</f>
        <v>10.799999999999999</v>
      </c>
      <c r="AV5" s="85">
        <f>AS5</f>
        <v>72</v>
      </c>
      <c r="AW5">
        <f t="shared" ref="AW5:AW14" si="3">IF(ISNUMBER(AR6),SUM(AT5:AU5),SUM(AT5:AV5))</f>
        <v>10.799999999999999</v>
      </c>
      <c r="AX5" s="86">
        <f t="shared" si="0"/>
        <v>3.707688177021673E-2</v>
      </c>
      <c r="AY5">
        <f t="shared" ref="AY5:AY70" si="4">IF(ISNUMBER(AR5),AX5/(1+$D$7)^AR5,0)</f>
        <v>3.5311315971634977E-2</v>
      </c>
      <c r="AZ5">
        <f>SUM(AY5:AY113)</f>
        <v>0.54393861771518315</v>
      </c>
      <c r="BA5" s="1">
        <f>SUM(AY5:AY23)</f>
        <v>0.44808601266900683</v>
      </c>
    </row>
    <row r="6" spans="1:53" ht="14">
      <c r="A6" s="14"/>
      <c r="B6" s="10"/>
      <c r="C6" s="311" t="s">
        <v>12</v>
      </c>
      <c r="D6" s="311"/>
      <c r="E6" s="49"/>
      <c r="F6" s="23" t="s">
        <v>13</v>
      </c>
      <c r="G6" s="24"/>
      <c r="H6" s="50"/>
      <c r="I6" s="311" t="s">
        <v>40</v>
      </c>
      <c r="J6" s="311"/>
      <c r="K6" s="159"/>
      <c r="L6" s="312" t="s">
        <v>210</v>
      </c>
      <c r="M6" s="312"/>
      <c r="N6" s="11"/>
      <c r="O6" s="6"/>
      <c r="P6" s="14"/>
      <c r="Q6" s="206" t="s">
        <v>237</v>
      </c>
      <c r="R6" s="205">
        <f>(M15*M11)/(1+D7)^10</f>
        <v>8.28782892280025E-3</v>
      </c>
      <c r="S6" s="205">
        <f>R6*(1-1/(1+D7)^G16)/(1-1/(1+D7))</f>
        <v>0.14932215078213518</v>
      </c>
      <c r="T6" s="300">
        <f>S6*M8*M9*M14*(W36/V36)</f>
        <v>1.8123169711567434E-3</v>
      </c>
      <c r="U6" s="300"/>
      <c r="V6" s="300">
        <v>0</v>
      </c>
      <c r="W6" s="301"/>
      <c r="X6" s="14"/>
      <c r="Y6" s="14"/>
      <c r="Z6" s="14"/>
      <c r="AA6" s="14"/>
      <c r="AB6" s="14"/>
      <c r="AC6" s="14"/>
      <c r="AD6" s="14"/>
      <c r="AE6" s="14"/>
      <c r="AF6" s="14"/>
      <c r="AG6" s="14"/>
      <c r="AH6" s="14"/>
      <c r="AI6" s="14"/>
      <c r="AJ6" s="14"/>
      <c r="AK6" s="14"/>
      <c r="AL6" s="14"/>
      <c r="AM6" s="14"/>
      <c r="AN6" s="14"/>
      <c r="AO6" s="14"/>
      <c r="AP6" s="14"/>
      <c r="AR6">
        <f t="shared" si="1"/>
        <v>2</v>
      </c>
      <c r="AS6" s="85">
        <f t="shared" ref="AS6:AS71" si="5">IF(ISNUMBER(AR6),AV5,0)</f>
        <v>72</v>
      </c>
      <c r="AT6" s="85"/>
      <c r="AU6" s="85">
        <f t="shared" si="2"/>
        <v>10.799999999999999</v>
      </c>
      <c r="AV6" s="85">
        <f t="shared" ref="AV6:AV71" si="6">AS6</f>
        <v>72</v>
      </c>
      <c r="AW6">
        <f t="shared" si="3"/>
        <v>10.799999999999999</v>
      </c>
      <c r="AX6" s="86">
        <f t="shared" si="0"/>
        <v>3.707688177021673E-2</v>
      </c>
      <c r="AY6">
        <f t="shared" si="4"/>
        <v>3.3629824734890457E-2</v>
      </c>
      <c r="AZ6"/>
    </row>
    <row r="7" spans="1:53" ht="20.5" customHeight="1">
      <c r="A7" s="14"/>
      <c r="B7" s="306" t="s">
        <v>47</v>
      </c>
      <c r="C7" s="139" t="s">
        <v>0</v>
      </c>
      <c r="D7" s="179">
        <v>0.05</v>
      </c>
      <c r="E7" s="2"/>
      <c r="F7" s="174" t="s">
        <v>4</v>
      </c>
      <c r="G7" s="175">
        <v>0.30254930254930251</v>
      </c>
      <c r="H7" s="4"/>
      <c r="I7" s="174" t="s">
        <v>8</v>
      </c>
      <c r="J7" s="175">
        <v>0.28566565514135123</v>
      </c>
      <c r="K7" s="160"/>
      <c r="L7" s="174" t="s">
        <v>217</v>
      </c>
      <c r="M7" s="180">
        <v>7.4999999999999997E-2</v>
      </c>
      <c r="N7" s="12"/>
      <c r="O7" s="6"/>
      <c r="P7" s="14"/>
      <c r="Q7" s="15"/>
      <c r="R7" s="6"/>
      <c r="S7" s="6"/>
      <c r="T7" s="6"/>
      <c r="U7" s="164"/>
      <c r="V7" s="6"/>
      <c r="W7" s="12"/>
      <c r="X7" s="14"/>
      <c r="Y7" s="14"/>
      <c r="Z7" s="14"/>
      <c r="AA7" s="14"/>
      <c r="AB7" s="14"/>
      <c r="AC7" s="14"/>
      <c r="AD7" s="14"/>
      <c r="AE7" s="14"/>
      <c r="AF7" s="14"/>
      <c r="AG7" s="14"/>
      <c r="AH7" s="14"/>
      <c r="AI7" s="14"/>
      <c r="AJ7" s="14"/>
      <c r="AK7" s="14"/>
      <c r="AL7" s="14"/>
      <c r="AM7" s="14"/>
      <c r="AN7" s="14"/>
      <c r="AO7" s="14"/>
      <c r="AP7" s="14"/>
      <c r="AR7">
        <f t="shared" si="1"/>
        <v>3</v>
      </c>
      <c r="AS7" s="85">
        <f>IF(ISNUMBER(AR7),AV6,0)</f>
        <v>72</v>
      </c>
      <c r="AT7" s="85"/>
      <c r="AU7" s="85">
        <f t="shared" si="2"/>
        <v>10.799999999999999</v>
      </c>
      <c r="AV7" s="85">
        <f t="shared" si="6"/>
        <v>72</v>
      </c>
      <c r="AW7">
        <f t="shared" si="3"/>
        <v>10.799999999999999</v>
      </c>
      <c r="AX7" s="86">
        <f t="shared" si="0"/>
        <v>3.707688177021673E-2</v>
      </c>
      <c r="AY7">
        <f t="shared" si="4"/>
        <v>3.2028404509419482E-2</v>
      </c>
      <c r="AZ7"/>
    </row>
    <row r="8" spans="1:53" ht="20.5" customHeight="1">
      <c r="A8" s="14"/>
      <c r="B8" s="306"/>
      <c r="C8" s="127"/>
      <c r="D8" s="127"/>
      <c r="E8" s="51"/>
      <c r="F8" s="178" t="s">
        <v>6</v>
      </c>
      <c r="G8" s="13">
        <v>0.6</v>
      </c>
      <c r="H8" s="5"/>
      <c r="I8" s="153" t="s">
        <v>9</v>
      </c>
      <c r="J8" s="154">
        <v>0.28968942705046552</v>
      </c>
      <c r="K8" s="161"/>
      <c r="L8" s="153" t="s">
        <v>211</v>
      </c>
      <c r="M8" s="154">
        <v>0.8</v>
      </c>
      <c r="N8" s="12"/>
      <c r="O8" s="6"/>
      <c r="P8" s="14"/>
      <c r="Q8" s="309" t="s">
        <v>238</v>
      </c>
      <c r="R8" s="6"/>
      <c r="S8" s="207" t="s">
        <v>31</v>
      </c>
      <c r="T8" s="319" t="s">
        <v>34</v>
      </c>
      <c r="U8" s="319"/>
      <c r="V8" s="97"/>
      <c r="W8" s="12"/>
      <c r="X8" s="14"/>
      <c r="Y8" s="14"/>
      <c r="Z8" s="14"/>
      <c r="AA8" s="14"/>
      <c r="AB8" s="14"/>
      <c r="AC8" s="14"/>
      <c r="AD8" s="14"/>
      <c r="AE8" s="14"/>
      <c r="AF8" s="14"/>
      <c r="AG8" s="14"/>
      <c r="AH8" s="14"/>
      <c r="AI8" s="14"/>
      <c r="AJ8" s="14"/>
      <c r="AK8" s="14"/>
      <c r="AL8" s="14"/>
      <c r="AM8" s="14"/>
      <c r="AN8" s="14"/>
      <c r="AO8" s="14"/>
      <c r="AP8" s="14"/>
      <c r="AR8">
        <f t="shared" si="1"/>
        <v>4</v>
      </c>
      <c r="AS8" s="85">
        <f t="shared" si="5"/>
        <v>72</v>
      </c>
      <c r="AT8" s="85"/>
      <c r="AU8" s="85">
        <f t="shared" si="2"/>
        <v>10.799999999999999</v>
      </c>
      <c r="AV8" s="85">
        <f t="shared" si="6"/>
        <v>72</v>
      </c>
      <c r="AW8">
        <f t="shared" si="3"/>
        <v>10.799999999999999</v>
      </c>
      <c r="AX8" s="86">
        <f t="shared" si="0"/>
        <v>3.707688177021673E-2</v>
      </c>
      <c r="AY8">
        <f t="shared" si="4"/>
        <v>3.0503242389923319E-2</v>
      </c>
      <c r="AZ8"/>
    </row>
    <row r="9" spans="1:53" ht="33">
      <c r="A9" s="14"/>
      <c r="B9" s="306"/>
      <c r="C9" s="307" t="s">
        <v>14</v>
      </c>
      <c r="D9" s="307"/>
      <c r="E9" s="2"/>
      <c r="F9" s="153" t="s">
        <v>177</v>
      </c>
      <c r="G9" s="154">
        <v>1</v>
      </c>
      <c r="H9" s="5"/>
      <c r="I9" s="153" t="s">
        <v>204</v>
      </c>
      <c r="J9" s="154">
        <v>2</v>
      </c>
      <c r="K9" s="161"/>
      <c r="L9" s="153" t="s">
        <v>212</v>
      </c>
      <c r="M9" s="154">
        <v>0.8</v>
      </c>
      <c r="N9" s="12"/>
      <c r="O9" s="6"/>
      <c r="P9" s="14"/>
      <c r="Q9" s="309"/>
      <c r="R9" s="21" t="s">
        <v>46</v>
      </c>
      <c r="S9" s="125">
        <f>($V$5+$T$5*J14)*J7*J11</f>
        <v>1.5604326285687179E-2</v>
      </c>
      <c r="T9" s="308">
        <f>J12*S9/(J16/J9)</f>
        <v>6.8659035657023582E-2</v>
      </c>
      <c r="U9" s="308"/>
      <c r="V9" s="99"/>
      <c r="W9" s="12"/>
      <c r="X9" s="14"/>
      <c r="Y9" s="14"/>
      <c r="Z9" s="14"/>
      <c r="AA9" s="14"/>
      <c r="AB9" s="14"/>
      <c r="AC9" s="14"/>
      <c r="AD9" s="14"/>
      <c r="AE9" s="14"/>
      <c r="AF9" s="14"/>
      <c r="AG9" s="14"/>
      <c r="AH9" s="14"/>
      <c r="AI9" s="14"/>
      <c r="AJ9" s="14"/>
      <c r="AK9" s="14"/>
      <c r="AL9" s="14"/>
      <c r="AM9" s="14"/>
      <c r="AN9" s="14"/>
      <c r="AO9" s="14"/>
      <c r="AP9" s="14"/>
      <c r="AR9">
        <f t="shared" si="1"/>
        <v>5</v>
      </c>
      <c r="AS9" s="85">
        <f t="shared" si="5"/>
        <v>72</v>
      </c>
      <c r="AT9" s="85"/>
      <c r="AU9" s="85">
        <f t="shared" si="2"/>
        <v>10.799999999999999</v>
      </c>
      <c r="AV9" s="85">
        <f t="shared" si="6"/>
        <v>72</v>
      </c>
      <c r="AW9">
        <f>IF(ISNUMBER(AR10),SUM(AT9:AU9),SUM(AT9:AV9))</f>
        <v>10.799999999999999</v>
      </c>
      <c r="AX9" s="86">
        <f t="shared" si="0"/>
        <v>3.707688177021673E-2</v>
      </c>
      <c r="AY9">
        <f t="shared" si="4"/>
        <v>2.9050707038022205E-2</v>
      </c>
      <c r="AZ9"/>
    </row>
    <row r="10" spans="1:53" ht="26.5" customHeight="1">
      <c r="A10" s="14"/>
      <c r="B10" s="306"/>
      <c r="C10" s="121" t="s">
        <v>3</v>
      </c>
      <c r="D10" s="122">
        <v>0.15</v>
      </c>
      <c r="E10" s="112"/>
      <c r="F10" s="126" t="s">
        <v>176</v>
      </c>
      <c r="G10" s="140">
        <v>2.4E-2</v>
      </c>
      <c r="H10" s="113"/>
      <c r="I10" s="153" t="s">
        <v>205</v>
      </c>
      <c r="J10" s="154">
        <v>1.4084507042253522</v>
      </c>
      <c r="K10" s="161"/>
      <c r="L10" s="153" t="s">
        <v>227</v>
      </c>
      <c r="M10" s="154">
        <v>2</v>
      </c>
      <c r="N10" s="12"/>
      <c r="O10" s="6"/>
      <c r="P10" s="14"/>
      <c r="Q10" s="309"/>
      <c r="R10" s="21" t="s">
        <v>45</v>
      </c>
      <c r="S10" s="210">
        <f>($V$5+$T$5*J15)*J8*J18</f>
        <v>1.7948280672233252E-2</v>
      </c>
      <c r="T10" s="308">
        <f>S10/(J17/J10)</f>
        <v>2.5279268552441201E-2</v>
      </c>
      <c r="U10" s="308"/>
      <c r="V10" s="99"/>
      <c r="W10" s="12"/>
      <c r="X10" s="14"/>
      <c r="Y10" s="14"/>
      <c r="Z10" s="14"/>
      <c r="AA10" s="14"/>
      <c r="AB10" s="14"/>
      <c r="AC10" s="14"/>
      <c r="AD10" s="14"/>
      <c r="AE10" s="14"/>
      <c r="AF10" s="14"/>
      <c r="AG10" s="14"/>
      <c r="AH10" s="14"/>
      <c r="AI10" s="14"/>
      <c r="AJ10" s="14"/>
      <c r="AK10" s="14"/>
      <c r="AL10" s="14"/>
      <c r="AM10" s="14"/>
      <c r="AN10" s="14"/>
      <c r="AO10" s="14"/>
      <c r="AP10" s="14"/>
      <c r="AR10">
        <f t="shared" si="1"/>
        <v>6</v>
      </c>
      <c r="AS10" s="85">
        <f>IF(ISNUMBER(AR10),AV9,0)</f>
        <v>72</v>
      </c>
      <c r="AT10" s="85"/>
      <c r="AU10" s="85">
        <f t="shared" si="2"/>
        <v>10.799999999999999</v>
      </c>
      <c r="AV10" s="85">
        <f t="shared" si="6"/>
        <v>72</v>
      </c>
      <c r="AW10">
        <f>IF(ISNUMBER(AR11),SUM(AT10:AU10),SUM(AT10:AV10))</f>
        <v>10.799999999999999</v>
      </c>
      <c r="AX10" s="86">
        <f t="shared" si="0"/>
        <v>3.707688177021673E-2</v>
      </c>
      <c r="AY10">
        <f t="shared" si="4"/>
        <v>2.7667340036211626E-2</v>
      </c>
      <c r="AZ10"/>
    </row>
    <row r="11" spans="1:53" ht="33" customHeight="1">
      <c r="A11" s="14"/>
      <c r="B11" s="306"/>
      <c r="C11" s="134" t="s">
        <v>5</v>
      </c>
      <c r="D11" s="135">
        <v>0.25</v>
      </c>
      <c r="E11" s="3"/>
      <c r="F11" s="153" t="s">
        <v>186</v>
      </c>
      <c r="G11" s="136">
        <v>3</v>
      </c>
      <c r="H11" s="6"/>
      <c r="I11" s="153" t="s">
        <v>107</v>
      </c>
      <c r="J11" s="154">
        <v>0.8</v>
      </c>
      <c r="K11" s="161"/>
      <c r="L11" s="153" t="s">
        <v>226</v>
      </c>
      <c r="M11" s="154">
        <v>0.5</v>
      </c>
      <c r="N11" s="12"/>
      <c r="O11" s="14"/>
      <c r="P11" s="14"/>
      <c r="Q11" s="309"/>
      <c r="R11" s="21" t="s">
        <v>216</v>
      </c>
      <c r="S11" s="210">
        <f>T6*M12</f>
        <v>1.1961292009634507E-3</v>
      </c>
      <c r="T11" s="308">
        <f>M13*S11/(M7/M10)</f>
        <v>1.5948389346179342E-2</v>
      </c>
      <c r="U11" s="308"/>
      <c r="V11" s="99"/>
      <c r="W11" s="12"/>
      <c r="X11" s="14"/>
      <c r="Y11" s="14"/>
      <c r="Z11" s="14"/>
      <c r="AA11" s="14"/>
      <c r="AB11" s="14"/>
      <c r="AC11" s="14"/>
      <c r="AD11" s="14"/>
      <c r="AE11" s="14"/>
      <c r="AF11" s="14"/>
      <c r="AG11" s="14"/>
      <c r="AH11" s="14"/>
      <c r="AI11" s="14"/>
      <c r="AJ11" s="14"/>
      <c r="AK11" s="14"/>
      <c r="AL11" s="14"/>
      <c r="AM11" s="14"/>
      <c r="AN11" s="14"/>
      <c r="AO11" s="14"/>
      <c r="AP11" s="14"/>
      <c r="AR11">
        <f t="shared" si="1"/>
        <v>7</v>
      </c>
      <c r="AS11" s="85">
        <f>IF(ISNUMBER(AR11),AV10,0)</f>
        <v>72</v>
      </c>
      <c r="AT11" s="85"/>
      <c r="AU11" s="85">
        <f t="shared" si="2"/>
        <v>10.799999999999999</v>
      </c>
      <c r="AV11" s="85">
        <f t="shared" si="6"/>
        <v>72</v>
      </c>
      <c r="AW11">
        <f>IF(ISNUMBER(AR12),SUM(AT11:AU11),SUM(AT11:AV11))</f>
        <v>10.799999999999999</v>
      </c>
      <c r="AX11" s="86">
        <f t="shared" si="0"/>
        <v>3.707688177021673E-2</v>
      </c>
      <c r="AY11">
        <f t="shared" si="4"/>
        <v>2.6349847653534878E-2</v>
      </c>
      <c r="AZ11"/>
    </row>
    <row r="12" spans="1:53" ht="24" customHeight="1">
      <c r="A12" s="14"/>
      <c r="B12" s="15"/>
      <c r="C12" s="9"/>
      <c r="D12" s="8"/>
      <c r="E12" s="2"/>
      <c r="F12" s="52"/>
      <c r="G12" s="53"/>
      <c r="H12" s="9"/>
      <c r="I12" s="153" t="s">
        <v>330</v>
      </c>
      <c r="J12" s="154">
        <v>0.66</v>
      </c>
      <c r="K12" s="6"/>
      <c r="L12" s="153" t="s">
        <v>219</v>
      </c>
      <c r="M12" s="154">
        <v>0.66</v>
      </c>
      <c r="N12" s="12"/>
      <c r="O12" s="6"/>
      <c r="P12" s="14"/>
      <c r="Q12" s="123"/>
      <c r="R12" s="21"/>
      <c r="S12" s="124"/>
      <c r="T12" s="99"/>
      <c r="U12" s="99"/>
      <c r="V12" s="99"/>
      <c r="W12" s="12"/>
      <c r="X12" s="14"/>
      <c r="Y12" s="14"/>
      <c r="Z12" s="14"/>
      <c r="AA12" s="14"/>
      <c r="AB12" s="14"/>
      <c r="AC12" s="14"/>
      <c r="AD12" s="14"/>
      <c r="AE12" s="14"/>
      <c r="AF12" s="14"/>
      <c r="AG12" s="14"/>
      <c r="AH12" s="14"/>
      <c r="AI12" s="14"/>
      <c r="AJ12" s="14"/>
      <c r="AK12" s="14"/>
      <c r="AL12" s="14"/>
      <c r="AM12" s="14"/>
      <c r="AN12" s="14"/>
      <c r="AO12" s="14"/>
      <c r="AP12" s="14"/>
      <c r="AR12">
        <f t="shared" si="1"/>
        <v>8</v>
      </c>
      <c r="AS12" s="85">
        <f>IF(ISNUMBER(AR12),AV11,0)</f>
        <v>72</v>
      </c>
      <c r="AT12" s="85"/>
      <c r="AU12" s="85">
        <f t="shared" si="2"/>
        <v>10.799999999999999</v>
      </c>
      <c r="AV12" s="85">
        <f t="shared" si="6"/>
        <v>72</v>
      </c>
      <c r="AW12">
        <f>IF(ISNUMBER(AR13),SUM(AT12:AU12),SUM(AT12:AV12))</f>
        <v>10.799999999999999</v>
      </c>
      <c r="AX12" s="86">
        <f t="shared" si="0"/>
        <v>3.707688177021673E-2</v>
      </c>
      <c r="AY12">
        <f t="shared" si="4"/>
        <v>2.5095093003366552E-2</v>
      </c>
      <c r="AZ12"/>
    </row>
    <row r="13" spans="1:53" ht="24" customHeight="1">
      <c r="A13" s="14"/>
      <c r="B13" s="15"/>
      <c r="C13" s="9"/>
      <c r="D13" s="8"/>
      <c r="E13" s="2"/>
      <c r="F13" s="52"/>
      <c r="G13" s="53"/>
      <c r="H13" s="6"/>
      <c r="I13" s="9"/>
      <c r="J13" s="8"/>
      <c r="K13" s="6"/>
      <c r="L13" s="153" t="s">
        <v>218</v>
      </c>
      <c r="M13" s="154">
        <v>0.5</v>
      </c>
      <c r="N13" s="12"/>
      <c r="O13" s="6"/>
      <c r="P13" s="14"/>
      <c r="Q13" s="309" t="s">
        <v>239</v>
      </c>
      <c r="R13" s="48"/>
      <c r="S13" s="207" t="s">
        <v>173</v>
      </c>
      <c r="T13" s="319" t="s">
        <v>174</v>
      </c>
      <c r="U13" s="319"/>
      <c r="V13" s="207" t="s">
        <v>175</v>
      </c>
      <c r="W13" s="209" t="s">
        <v>184</v>
      </c>
      <c r="X13" s="14"/>
      <c r="Y13" s="14"/>
      <c r="Z13" s="14"/>
      <c r="AA13" s="14"/>
      <c r="AB13" s="14"/>
      <c r="AC13" s="14"/>
      <c r="AD13" s="14"/>
      <c r="AE13" s="14"/>
      <c r="AF13" s="14"/>
      <c r="AG13" s="14"/>
      <c r="AH13" s="14"/>
      <c r="AI13" s="14"/>
      <c r="AJ13" s="14"/>
      <c r="AK13" s="14"/>
      <c r="AL13" s="14"/>
      <c r="AM13" s="14"/>
      <c r="AN13" s="14"/>
      <c r="AO13" s="14"/>
      <c r="AP13" s="14"/>
      <c r="AR13">
        <f t="shared" si="1"/>
        <v>9</v>
      </c>
      <c r="AS13" s="85">
        <f>IF(ISNUMBER(AR13),AV12,0)</f>
        <v>72</v>
      </c>
      <c r="AT13" s="85"/>
      <c r="AU13" s="85">
        <f t="shared" si="2"/>
        <v>10.799999999999999</v>
      </c>
      <c r="AV13" s="85">
        <f t="shared" si="6"/>
        <v>72</v>
      </c>
      <c r="AW13">
        <f t="shared" si="3"/>
        <v>10.799999999999999</v>
      </c>
      <c r="AX13" s="86">
        <f t="shared" si="0"/>
        <v>3.707688177021673E-2</v>
      </c>
      <c r="AY13">
        <f t="shared" si="4"/>
        <v>2.3900088574634812E-2</v>
      </c>
      <c r="AZ13"/>
    </row>
    <row r="14" spans="1:53" ht="21" customHeight="1">
      <c r="A14" s="14"/>
      <c r="B14" s="357" t="s">
        <v>296</v>
      </c>
      <c r="C14" s="358" t="s">
        <v>1</v>
      </c>
      <c r="D14" s="359">
        <v>20</v>
      </c>
      <c r="E14" s="3"/>
      <c r="F14" s="358" t="s">
        <v>2</v>
      </c>
      <c r="G14" s="359">
        <v>1.6816029685289403E-3</v>
      </c>
      <c r="H14" s="6"/>
      <c r="I14" s="128" t="s">
        <v>11</v>
      </c>
      <c r="J14" s="129">
        <v>1</v>
      </c>
      <c r="K14" s="162"/>
      <c r="L14" s="153" t="s">
        <v>220</v>
      </c>
      <c r="M14" s="154">
        <v>0.66</v>
      </c>
      <c r="N14" s="12"/>
      <c r="O14" s="6"/>
      <c r="P14" s="14"/>
      <c r="Q14" s="309"/>
      <c r="R14" s="21" t="s">
        <v>46</v>
      </c>
      <c r="S14" s="210">
        <f>(1000/(J16/J9))*J14*J11*J12*G9*G10*G7*J7*G8*G18*(1/G36)</f>
        <v>0.54533522766426723</v>
      </c>
      <c r="T14" s="325">
        <f>(((1000/(J16/J9))*G14)/U36)*J7*J11</f>
        <v>7.0143914388130252E-2</v>
      </c>
      <c r="U14" s="325"/>
      <c r="V14" s="210">
        <f>S14+T14</f>
        <v>0.61547914205239751</v>
      </c>
      <c r="W14" s="192">
        <f>1000/V14</f>
        <v>1624.7504288534722</v>
      </c>
      <c r="X14" s="14"/>
      <c r="Y14" s="14"/>
      <c r="Z14" s="14"/>
      <c r="AA14" s="14"/>
      <c r="AB14" s="14"/>
      <c r="AC14" s="14"/>
      <c r="AD14" s="14"/>
      <c r="AE14" s="14"/>
      <c r="AF14" s="14"/>
      <c r="AG14" s="14"/>
      <c r="AH14" s="14"/>
      <c r="AI14" s="14"/>
      <c r="AJ14" s="14"/>
      <c r="AK14" s="14"/>
      <c r="AL14" s="14"/>
      <c r="AM14" s="14"/>
      <c r="AN14" s="14"/>
      <c r="AO14" s="14"/>
      <c r="AP14" s="14"/>
      <c r="AR14">
        <f t="shared" si="1"/>
        <v>10</v>
      </c>
      <c r="AS14" s="85">
        <f t="shared" si="5"/>
        <v>72</v>
      </c>
      <c r="AT14" s="85"/>
      <c r="AU14" s="85">
        <f t="shared" si="2"/>
        <v>10.799999999999999</v>
      </c>
      <c r="AV14" s="85">
        <f t="shared" si="6"/>
        <v>72</v>
      </c>
      <c r="AW14">
        <f t="shared" si="3"/>
        <v>10.799999999999999</v>
      </c>
      <c r="AX14" s="86">
        <f t="shared" si="0"/>
        <v>3.707688177021673E-2</v>
      </c>
      <c r="AY14">
        <f t="shared" si="4"/>
        <v>2.2761989118699821E-2</v>
      </c>
      <c r="AZ14"/>
    </row>
    <row r="15" spans="1:53" ht="21" customHeight="1">
      <c r="A15" s="14"/>
      <c r="B15" s="357"/>
      <c r="C15" s="354"/>
      <c r="D15" s="359"/>
      <c r="E15" s="3"/>
      <c r="F15" s="354"/>
      <c r="G15" s="363"/>
      <c r="H15" s="6"/>
      <c r="I15" s="137" t="s">
        <v>10</v>
      </c>
      <c r="J15" s="138">
        <v>0.9</v>
      </c>
      <c r="K15" s="162"/>
      <c r="L15" s="176" t="s">
        <v>224</v>
      </c>
      <c r="M15" s="177">
        <v>2.6999999999999996E-2</v>
      </c>
      <c r="N15" s="12"/>
      <c r="O15" s="6"/>
      <c r="P15" s="14"/>
      <c r="Q15" s="309"/>
      <c r="R15" s="21" t="s">
        <v>45</v>
      </c>
      <c r="S15" s="191">
        <f>(1000/(J17/J10))*J15*J8*G10*G7*G8*J18*G9*G18*(1/G36)</f>
        <v>0.19914970429535311</v>
      </c>
      <c r="T15" s="326">
        <f>(((1000/(J17/J10))*G14)/U36)*J18*J8</f>
        <v>1.878484157983672E-2</v>
      </c>
      <c r="U15" s="326"/>
      <c r="V15" s="210">
        <f>S15+T15</f>
        <v>0.21793454587518984</v>
      </c>
      <c r="W15" s="192">
        <f>1000/V15</f>
        <v>4588.5336626378439</v>
      </c>
      <c r="X15" s="14"/>
      <c r="Y15" s="14"/>
      <c r="Z15" s="14"/>
      <c r="AA15" s="14"/>
      <c r="AB15" s="14"/>
      <c r="AC15" s="14"/>
      <c r="AD15" s="14"/>
      <c r="AE15" s="14"/>
      <c r="AF15" s="14"/>
      <c r="AG15" s="14"/>
      <c r="AH15" s="14"/>
      <c r="AI15" s="14"/>
      <c r="AJ15" s="14"/>
      <c r="AK15" s="14"/>
      <c r="AL15" s="14"/>
      <c r="AM15" s="14"/>
      <c r="AN15" s="14"/>
      <c r="AO15" s="14"/>
      <c r="AP15" s="14"/>
      <c r="AR15">
        <f t="shared" si="1"/>
        <v>11</v>
      </c>
      <c r="AS15" s="85">
        <f t="shared" si="5"/>
        <v>72</v>
      </c>
      <c r="AT15" s="85"/>
      <c r="AU15" s="85">
        <f t="shared" si="2"/>
        <v>10.799999999999999</v>
      </c>
      <c r="AV15" s="85">
        <f t="shared" si="6"/>
        <v>72</v>
      </c>
      <c r="AW15">
        <f>IF(ISNUMBER(AR16),SUM(AT15:AU15),SUM(AT15:AV15))</f>
        <v>10.799999999999999</v>
      </c>
      <c r="AX15" s="86">
        <f t="shared" si="0"/>
        <v>3.707688177021673E-2</v>
      </c>
      <c r="AY15">
        <f t="shared" si="4"/>
        <v>2.1678084874952208E-2</v>
      </c>
      <c r="AZ15"/>
    </row>
    <row r="16" spans="1:53" ht="21" customHeight="1">
      <c r="A16" s="14"/>
      <c r="B16" s="357"/>
      <c r="C16" s="353" t="s">
        <v>19</v>
      </c>
      <c r="D16" s="360">
        <v>0.86699999999999999</v>
      </c>
      <c r="E16" s="3"/>
      <c r="F16" s="353" t="s">
        <v>303</v>
      </c>
      <c r="G16" s="355">
        <v>40</v>
      </c>
      <c r="H16" s="6"/>
      <c r="I16" s="132" t="s">
        <v>28</v>
      </c>
      <c r="J16" s="130">
        <v>0.3</v>
      </c>
      <c r="K16" s="163"/>
      <c r="L16" s="6"/>
      <c r="M16" s="6"/>
      <c r="N16" s="12"/>
      <c r="O16" s="6"/>
      <c r="P16" s="14"/>
      <c r="Q16" s="309"/>
      <c r="R16" s="21" t="s">
        <v>210</v>
      </c>
      <c r="S16" s="367">
        <f>(1000/(M7/M10))*M9*M8*(1/V36)*W36*M12*M14*M11*(M15/D36)*M13*G10</f>
        <v>0.13677826226086959</v>
      </c>
      <c r="T16" s="367"/>
      <c r="U16" s="211">
        <v>0</v>
      </c>
      <c r="V16" s="210">
        <f>S16+U16</f>
        <v>0.13677826226086959</v>
      </c>
      <c r="W16" s="192">
        <f>1000/V16</f>
        <v>7311.1032664880295</v>
      </c>
      <c r="X16" s="14"/>
      <c r="Y16" s="14"/>
      <c r="Z16" s="14"/>
      <c r="AA16" s="14"/>
      <c r="AB16" s="14"/>
      <c r="AC16" s="14"/>
      <c r="AD16" s="14"/>
      <c r="AE16" s="14"/>
      <c r="AF16" s="14"/>
      <c r="AG16" s="14"/>
      <c r="AH16" s="14"/>
      <c r="AI16" s="14"/>
      <c r="AJ16" s="14"/>
      <c r="AK16" s="14"/>
      <c r="AL16" s="14"/>
      <c r="AM16" s="14"/>
      <c r="AN16" s="14"/>
      <c r="AO16" s="14"/>
      <c r="AP16" s="14"/>
      <c r="AR16">
        <f t="shared" si="1"/>
        <v>12</v>
      </c>
      <c r="AS16" s="85">
        <f t="shared" si="5"/>
        <v>72</v>
      </c>
      <c r="AT16" s="85"/>
      <c r="AU16" s="85">
        <f t="shared" si="2"/>
        <v>10.799999999999999</v>
      </c>
      <c r="AV16" s="85">
        <f t="shared" si="6"/>
        <v>72</v>
      </c>
      <c r="AW16">
        <f t="shared" ref="AW16:AW80" si="7">IF(ISNUMBER(AR17),SUM(AT16:AU16),SUM(AT16:AV16))</f>
        <v>10.799999999999999</v>
      </c>
      <c r="AX16" s="86">
        <f t="shared" si="0"/>
        <v>3.707688177021673E-2</v>
      </c>
      <c r="AY16">
        <f t="shared" si="4"/>
        <v>2.0645795119002105E-2</v>
      </c>
      <c r="AZ16"/>
    </row>
    <row r="17" spans="1:53" ht="31.75" customHeight="1">
      <c r="A17" s="14"/>
      <c r="B17" s="357"/>
      <c r="C17" s="362"/>
      <c r="D17" s="361"/>
      <c r="E17" s="3"/>
      <c r="F17" s="354"/>
      <c r="G17" s="356"/>
      <c r="H17" s="6"/>
      <c r="I17" s="133" t="s">
        <v>7</v>
      </c>
      <c r="J17" s="131">
        <v>1</v>
      </c>
      <c r="K17" s="163"/>
      <c r="L17" s="14"/>
      <c r="M17" s="14"/>
      <c r="N17" s="12"/>
      <c r="O17" s="6"/>
      <c r="P17" s="14"/>
      <c r="Q17" s="15"/>
      <c r="R17" s="6"/>
      <c r="S17" s="6"/>
      <c r="T17" s="6"/>
      <c r="U17" s="6"/>
      <c r="V17" s="6"/>
      <c r="W17" s="12"/>
      <c r="X17" s="14"/>
      <c r="Y17" s="14"/>
      <c r="Z17" s="14"/>
      <c r="AA17" s="14"/>
      <c r="AB17" s="14"/>
      <c r="AC17" s="14"/>
      <c r="AD17" s="14"/>
      <c r="AE17" s="14"/>
      <c r="AF17" s="14"/>
      <c r="AG17" s="14"/>
      <c r="AH17" s="14"/>
      <c r="AI17" s="14"/>
      <c r="AJ17" s="14"/>
      <c r="AK17" s="14"/>
      <c r="AL17" s="14"/>
      <c r="AM17" s="14"/>
      <c r="AN17" s="14"/>
      <c r="AO17" s="14"/>
      <c r="AP17" s="14"/>
      <c r="AR17">
        <f>IF(AR16&lt;$D$14,AR16+1,"")</f>
        <v>13</v>
      </c>
      <c r="AS17" s="85">
        <f>IF(ISNUMBER(AR17),AV16,0)</f>
        <v>72</v>
      </c>
      <c r="AT17" s="85"/>
      <c r="AU17" s="85">
        <f t="shared" si="2"/>
        <v>10.799999999999999</v>
      </c>
      <c r="AV17" s="85">
        <f t="shared" si="6"/>
        <v>72</v>
      </c>
      <c r="AW17">
        <f>IF(ISNUMBER(AR18),SUM(AT17:AU17),SUM(AT17:AV17))</f>
        <v>10.799999999999999</v>
      </c>
      <c r="AX17" s="86">
        <f t="shared" si="0"/>
        <v>3.707688177021673E-2</v>
      </c>
      <c r="AY17">
        <f t="shared" si="4"/>
        <v>1.966266201809724E-2</v>
      </c>
      <c r="AZ17"/>
    </row>
    <row r="18" spans="1:53" ht="30.5" customHeight="1">
      <c r="A18" s="14"/>
      <c r="B18" s="357"/>
      <c r="C18" s="6"/>
      <c r="D18" s="6"/>
      <c r="E18" s="3"/>
      <c r="F18" s="150" t="s">
        <v>254</v>
      </c>
      <c r="G18" s="147">
        <v>0.3</v>
      </c>
      <c r="H18" s="6"/>
      <c r="I18" s="146" t="s">
        <v>131</v>
      </c>
      <c r="J18" s="145">
        <v>1</v>
      </c>
      <c r="K18" s="162"/>
      <c r="L18" s="14"/>
      <c r="M18" s="14"/>
      <c r="N18" s="12"/>
      <c r="O18" s="6"/>
      <c r="P18" s="6"/>
      <c r="Q18" s="309" t="s">
        <v>240</v>
      </c>
      <c r="R18" s="207" t="s">
        <v>179</v>
      </c>
      <c r="S18" s="207" t="s">
        <v>35</v>
      </c>
      <c r="T18" s="319" t="s">
        <v>36</v>
      </c>
      <c r="U18" s="319"/>
      <c r="V18" s="319" t="s">
        <v>34</v>
      </c>
      <c r="W18" s="324"/>
      <c r="X18" s="14"/>
      <c r="Y18" s="14"/>
      <c r="Z18" s="14"/>
      <c r="AA18" s="14"/>
      <c r="AB18" s="14"/>
      <c r="AC18" s="14"/>
      <c r="AD18" s="14"/>
      <c r="AE18" s="14"/>
      <c r="AF18" s="14"/>
      <c r="AG18" s="14"/>
      <c r="AH18" s="14"/>
      <c r="AI18" s="14"/>
      <c r="AJ18" s="14"/>
      <c r="AK18" s="14"/>
      <c r="AL18" s="14"/>
      <c r="AM18" s="14"/>
      <c r="AN18" s="14"/>
      <c r="AO18" s="14"/>
      <c r="AP18" s="14"/>
      <c r="AR18">
        <f>IF(AR17&lt;$D$14,AR17+1,"")</f>
        <v>14</v>
      </c>
      <c r="AS18" s="85">
        <f>IF(ISNUMBER(AR18),AV17,0)</f>
        <v>72</v>
      </c>
      <c r="AT18" s="85"/>
      <c r="AU18" s="85">
        <f t="shared" si="2"/>
        <v>10.799999999999999</v>
      </c>
      <c r="AV18" s="85">
        <f t="shared" si="6"/>
        <v>72</v>
      </c>
      <c r="AW18">
        <f>IF(ISNUMBER(AR19),SUM(AT18:AU18),SUM(AT18:AV18))</f>
        <v>10.799999999999999</v>
      </c>
      <c r="AX18" s="86">
        <f t="shared" si="0"/>
        <v>3.707688177021673E-2</v>
      </c>
      <c r="AY18">
        <f t="shared" si="4"/>
        <v>1.8726344779140234E-2</v>
      </c>
      <c r="AZ18"/>
    </row>
    <row r="19" spans="1:53" ht="10.25" customHeight="1" thickBot="1">
      <c r="A19" s="14"/>
      <c r="B19" s="141"/>
      <c r="C19" s="7"/>
      <c r="D19" s="7"/>
      <c r="E19" s="7"/>
      <c r="F19" s="142"/>
      <c r="G19" s="143"/>
      <c r="H19" s="7"/>
      <c r="I19" s="7"/>
      <c r="J19" s="7"/>
      <c r="K19" s="7"/>
      <c r="L19" s="172"/>
      <c r="M19" s="7"/>
      <c r="N19" s="144"/>
      <c r="O19" s="6"/>
      <c r="P19" s="14"/>
      <c r="Q19" s="321"/>
      <c r="R19" s="208">
        <f>AZ5</f>
        <v>0.54393861771518315</v>
      </c>
      <c r="S19" s="208">
        <f>AY4</f>
        <v>0.56272869303125006</v>
      </c>
      <c r="T19" s="320">
        <f>R19+S19</f>
        <v>1.1066673107464333</v>
      </c>
      <c r="U19" s="320"/>
      <c r="V19" s="322">
        <f>T19/(Alexander!Q36/Alexander!D16)</f>
        <v>3.3315297167262415E-3</v>
      </c>
      <c r="W19" s="323"/>
      <c r="X19" s="14"/>
      <c r="Y19" s="14"/>
      <c r="Z19" s="14"/>
      <c r="AA19" s="14"/>
      <c r="AB19" s="14"/>
      <c r="AC19" s="14"/>
      <c r="AD19" s="14"/>
      <c r="AE19" s="14"/>
      <c r="AF19" s="14"/>
      <c r="AG19" s="14"/>
      <c r="AH19" s="14"/>
      <c r="AI19" s="14"/>
      <c r="AJ19" s="14"/>
      <c r="AK19" s="14"/>
      <c r="AL19" s="14"/>
      <c r="AM19" s="14"/>
      <c r="AN19" s="14"/>
      <c r="AO19" s="14"/>
      <c r="AP19" s="14"/>
      <c r="AR19">
        <f>IF(AR18&lt;$D$14,AR18+1,"")</f>
        <v>15</v>
      </c>
      <c r="AS19" s="85">
        <f>IF(ISNUMBER(AR19),AV18,0)</f>
        <v>72</v>
      </c>
      <c r="AT19" s="85"/>
      <c r="AU19" s="85">
        <f t="shared" si="2"/>
        <v>10.799999999999999</v>
      </c>
      <c r="AV19" s="85">
        <f t="shared" si="6"/>
        <v>72</v>
      </c>
      <c r="AW19">
        <f t="shared" si="7"/>
        <v>10.799999999999999</v>
      </c>
      <c r="AX19" s="86">
        <f t="shared" si="0"/>
        <v>3.707688177021673E-2</v>
      </c>
      <c r="AY19">
        <f t="shared" si="4"/>
        <v>1.7834614075371645E-2</v>
      </c>
      <c r="AZ19"/>
    </row>
    <row r="20" spans="1:53" ht="9.5" customHeight="1" thickBot="1">
      <c r="A20" s="14"/>
      <c r="B20" s="14"/>
      <c r="C20" s="14"/>
      <c r="D20" s="14"/>
      <c r="E20" s="14"/>
      <c r="F20" s="14"/>
      <c r="G20" s="14"/>
      <c r="H20" s="14"/>
      <c r="I20" s="14"/>
      <c r="J20" s="14"/>
      <c r="K20" s="14"/>
      <c r="L20" s="14"/>
      <c r="M20" s="14"/>
      <c r="N20" s="14"/>
      <c r="O20" s="14"/>
      <c r="P20" s="14"/>
      <c r="Q20" s="6"/>
      <c r="R20" s="6"/>
      <c r="S20" s="6"/>
      <c r="T20" s="6"/>
      <c r="U20" s="6"/>
      <c r="V20" s="6"/>
      <c r="W20" s="6"/>
      <c r="X20" s="14"/>
      <c r="Y20" s="14"/>
      <c r="Z20" s="14"/>
      <c r="AA20" s="14"/>
      <c r="AB20" s="14"/>
      <c r="AC20" s="14"/>
      <c r="AD20" s="14"/>
      <c r="AE20" s="14"/>
      <c r="AF20" s="14"/>
      <c r="AG20" s="14"/>
      <c r="AH20" s="14"/>
      <c r="AI20" s="14"/>
      <c r="AJ20" s="14"/>
      <c r="AK20" s="14"/>
      <c r="AL20" s="14"/>
      <c r="AM20" s="14"/>
      <c r="AN20" s="14"/>
      <c r="AO20" s="14"/>
      <c r="AP20" s="14"/>
      <c r="AR20">
        <f t="shared" si="1"/>
        <v>16</v>
      </c>
      <c r="AS20" s="85">
        <f t="shared" si="5"/>
        <v>72</v>
      </c>
      <c r="AT20" s="85"/>
      <c r="AU20" s="85">
        <f t="shared" si="2"/>
        <v>10.799999999999999</v>
      </c>
      <c r="AV20" s="85">
        <f t="shared" si="6"/>
        <v>72</v>
      </c>
      <c r="AW20">
        <f t="shared" si="7"/>
        <v>10.799999999999999</v>
      </c>
      <c r="AX20" s="86">
        <f t="shared" si="0"/>
        <v>3.707688177021673E-2</v>
      </c>
      <c r="AY20">
        <f t="shared" si="4"/>
        <v>1.6985346738449189E-2</v>
      </c>
      <c r="AZ20"/>
    </row>
    <row r="21" spans="1:53" ht="10.25" customHeight="1">
      <c r="A21" s="14"/>
      <c r="B21" s="14"/>
      <c r="C21" s="14"/>
      <c r="D21" s="14"/>
      <c r="E21" s="6"/>
      <c r="F21" s="384" t="s">
        <v>34</v>
      </c>
      <c r="G21" s="28" t="s">
        <v>33</v>
      </c>
      <c r="H21" s="29"/>
      <c r="I21" s="30">
        <f>T9</f>
        <v>6.8659035657023582E-2</v>
      </c>
      <c r="J21" s="31"/>
      <c r="K21" s="31"/>
      <c r="L21" s="31"/>
      <c r="M21" s="31"/>
      <c r="N21" s="32"/>
      <c r="O21" s="36"/>
      <c r="P21" s="6"/>
      <c r="Q21" s="181"/>
      <c r="R21" s="381" t="s">
        <v>301</v>
      </c>
      <c r="S21" s="382"/>
      <c r="T21" s="96"/>
      <c r="U21" s="377" t="s">
        <v>37</v>
      </c>
      <c r="V21" s="377"/>
      <c r="W21" s="378"/>
      <c r="X21" s="14"/>
      <c r="Y21" s="14"/>
      <c r="Z21" s="14"/>
      <c r="AA21" s="14"/>
      <c r="AB21" s="14"/>
      <c r="AC21" s="14"/>
      <c r="AD21" s="14"/>
      <c r="AE21" s="14"/>
      <c r="AF21" s="14"/>
      <c r="AG21" s="14"/>
      <c r="AH21" s="14"/>
      <c r="AI21" s="14"/>
      <c r="AJ21" s="14"/>
      <c r="AK21" s="14"/>
      <c r="AL21" s="14"/>
      <c r="AM21" s="14"/>
      <c r="AN21" s="14"/>
      <c r="AO21" s="14"/>
      <c r="AP21" s="14"/>
      <c r="AR21">
        <f t="shared" si="1"/>
        <v>17</v>
      </c>
      <c r="AS21" s="85">
        <f t="shared" si="5"/>
        <v>72</v>
      </c>
      <c r="AT21" s="85"/>
      <c r="AU21" s="85">
        <f t="shared" si="2"/>
        <v>10.799999999999999</v>
      </c>
      <c r="AV21" s="85">
        <f t="shared" si="6"/>
        <v>72</v>
      </c>
      <c r="AW21">
        <f t="shared" si="7"/>
        <v>10.799999999999999</v>
      </c>
      <c r="AX21" s="86">
        <f t="shared" si="0"/>
        <v>3.707688177021673E-2</v>
      </c>
      <c r="AY21">
        <f t="shared" si="4"/>
        <v>1.6176520703284937E-2</v>
      </c>
      <c r="AZ21"/>
    </row>
    <row r="22" spans="1:53" ht="12" customHeight="1" thickBot="1">
      <c r="A22" s="14"/>
      <c r="B22" s="14"/>
      <c r="C22" s="14"/>
      <c r="D22" s="14"/>
      <c r="E22" s="6"/>
      <c r="F22" s="368"/>
      <c r="G22" s="33" t="s">
        <v>32</v>
      </c>
      <c r="H22" s="34"/>
      <c r="I22" s="35">
        <f>T10</f>
        <v>2.5279268552441201E-2</v>
      </c>
      <c r="J22" s="36"/>
      <c r="K22" s="36"/>
      <c r="L22" s="36"/>
      <c r="M22" s="36"/>
      <c r="N22" s="37"/>
      <c r="O22" s="36"/>
      <c r="P22" s="6"/>
      <c r="Q22" s="193"/>
      <c r="R22" s="309"/>
      <c r="S22" s="383"/>
      <c r="T22" s="97"/>
      <c r="U22" s="379"/>
      <c r="V22" s="379"/>
      <c r="W22" s="380"/>
      <c r="X22" s="14"/>
      <c r="Y22" s="83"/>
      <c r="Z22" s="14"/>
      <c r="AA22" s="14"/>
      <c r="AB22" s="14"/>
      <c r="AC22" s="14"/>
      <c r="AD22" s="14"/>
      <c r="AE22" s="14"/>
      <c r="AF22" s="14"/>
      <c r="AG22" s="14"/>
      <c r="AH22" s="14"/>
      <c r="AI22" s="14"/>
      <c r="AJ22" s="14"/>
      <c r="AK22" s="14"/>
      <c r="AL22" s="14"/>
      <c r="AM22" s="14"/>
      <c r="AN22" s="14"/>
      <c r="AO22" s="14"/>
      <c r="AP22" s="14"/>
      <c r="AR22">
        <f t="shared" si="1"/>
        <v>18</v>
      </c>
      <c r="AS22" s="85">
        <f t="shared" si="5"/>
        <v>72</v>
      </c>
      <c r="AT22" s="85"/>
      <c r="AU22" s="85">
        <f t="shared" si="2"/>
        <v>10.799999999999999</v>
      </c>
      <c r="AV22" s="85">
        <f t="shared" si="6"/>
        <v>72</v>
      </c>
      <c r="AW22">
        <f t="shared" si="7"/>
        <v>10.799999999999999</v>
      </c>
      <c r="AX22" s="86">
        <f t="shared" si="0"/>
        <v>3.707688177021673E-2</v>
      </c>
      <c r="AY22">
        <f t="shared" si="4"/>
        <v>1.5406210193604703E-2</v>
      </c>
      <c r="AZ22"/>
    </row>
    <row r="23" spans="1:53" ht="10.75" customHeight="1">
      <c r="A23" s="14"/>
      <c r="B23" s="313" t="s">
        <v>234</v>
      </c>
      <c r="C23" s="349"/>
      <c r="D23" s="349"/>
      <c r="E23" s="349"/>
      <c r="F23" s="368"/>
      <c r="G23" s="33" t="s">
        <v>210</v>
      </c>
      <c r="H23" s="34"/>
      <c r="I23" s="35">
        <f>T11</f>
        <v>1.5948389346179342E-2</v>
      </c>
      <c r="J23" s="36"/>
      <c r="K23" s="36"/>
      <c r="L23" s="36"/>
      <c r="M23" s="36"/>
      <c r="N23" s="37"/>
      <c r="O23" s="36"/>
      <c r="P23" s="6"/>
      <c r="Q23" s="181"/>
      <c r="R23" s="84" t="s">
        <v>44</v>
      </c>
      <c r="S23" s="46">
        <f>W24/W23</f>
        <v>6.8620230024323883</v>
      </c>
      <c r="T23" s="98"/>
      <c r="U23" s="45" t="s">
        <v>38</v>
      </c>
      <c r="V23" s="45"/>
      <c r="W23" s="47">
        <f>(R36/S36)*T5</f>
        <v>33.389471508389136</v>
      </c>
      <c r="X23" s="14"/>
      <c r="Y23" s="83"/>
      <c r="Z23" s="14"/>
      <c r="AA23" s="14"/>
      <c r="AB23" s="14"/>
      <c r="AC23" s="14"/>
      <c r="AD23" s="14"/>
      <c r="AE23" s="14"/>
      <c r="AF23" s="14"/>
      <c r="AG23" s="14"/>
      <c r="AH23" s="14"/>
      <c r="AI23" s="14"/>
      <c r="AJ23" s="14"/>
      <c r="AK23" s="14"/>
      <c r="AL23" s="14"/>
      <c r="AM23" s="14"/>
      <c r="AN23" s="14"/>
      <c r="AO23" s="14"/>
      <c r="AP23" s="14"/>
      <c r="AR23">
        <f t="shared" si="1"/>
        <v>19</v>
      </c>
      <c r="AS23" s="85">
        <f t="shared" si="5"/>
        <v>72</v>
      </c>
      <c r="AT23" s="85"/>
      <c r="AU23" s="85">
        <f t="shared" si="2"/>
        <v>10.799999999999999</v>
      </c>
      <c r="AV23" s="85">
        <f t="shared" si="6"/>
        <v>72</v>
      </c>
      <c r="AW23">
        <f t="shared" si="7"/>
        <v>10.799999999999999</v>
      </c>
      <c r="AX23" s="86">
        <f t="shared" si="0"/>
        <v>3.707688177021673E-2</v>
      </c>
      <c r="AY23">
        <f t="shared" si="4"/>
        <v>1.4672581136766383E-2</v>
      </c>
      <c r="AZ23"/>
    </row>
    <row r="24" spans="1:53" ht="12.5" customHeight="1" thickBot="1">
      <c r="A24" s="14"/>
      <c r="B24" s="350"/>
      <c r="C24" s="351"/>
      <c r="D24" s="351"/>
      <c r="E24" s="351"/>
      <c r="F24" s="368"/>
      <c r="G24" s="33" t="s">
        <v>14</v>
      </c>
      <c r="H24" s="34"/>
      <c r="I24" s="35">
        <f>Alexander!V19</f>
        <v>3.3315297167262415E-3</v>
      </c>
      <c r="J24" s="36"/>
      <c r="K24" s="36"/>
      <c r="L24" s="36"/>
      <c r="M24" s="36"/>
      <c r="N24" s="37"/>
      <c r="O24" s="36"/>
      <c r="P24" s="6"/>
      <c r="Q24" s="193"/>
      <c r="R24" s="84" t="s">
        <v>32</v>
      </c>
      <c r="S24" s="46">
        <f>W25/W23</f>
        <v>2.5264980877105017</v>
      </c>
      <c r="T24" s="98"/>
      <c r="U24" s="45" t="s">
        <v>39</v>
      </c>
      <c r="V24" s="45"/>
      <c r="W24" s="47">
        <f>T9*R36</f>
        <v>229.11932152962711</v>
      </c>
      <c r="X24" s="14"/>
      <c r="Y24" s="6"/>
      <c r="Z24" s="14"/>
      <c r="AA24" s="14"/>
      <c r="AB24" s="14"/>
      <c r="AC24" s="14"/>
      <c r="AD24" s="14"/>
      <c r="AE24" s="14"/>
      <c r="AF24" s="14"/>
      <c r="AG24" s="14"/>
      <c r="AH24" s="14"/>
      <c r="AI24" s="14"/>
      <c r="AJ24" s="14"/>
      <c r="AK24" s="14"/>
      <c r="AL24" s="14"/>
      <c r="AM24" s="14"/>
      <c r="AN24" s="14"/>
      <c r="AO24" s="14"/>
      <c r="AP24" s="14"/>
      <c r="AR24">
        <f t="shared" si="1"/>
        <v>20</v>
      </c>
      <c r="AS24" s="85">
        <f t="shared" si="5"/>
        <v>72</v>
      </c>
      <c r="AT24" s="85"/>
      <c r="AU24" s="85">
        <f t="shared" si="2"/>
        <v>10.799999999999999</v>
      </c>
      <c r="AV24" s="85">
        <f t="shared" si="6"/>
        <v>72</v>
      </c>
      <c r="AW24">
        <f>IF(ISNUMBER(AR25),SUM(AT24:AU24),SUM(AT24:AV24))</f>
        <v>82.8</v>
      </c>
      <c r="AX24" s="86">
        <f t="shared" si="0"/>
        <v>0.25432549700113416</v>
      </c>
      <c r="AY24">
        <f t="shared" si="4"/>
        <v>9.585260504617632E-2</v>
      </c>
      <c r="AZ24"/>
    </row>
    <row r="25" spans="1:53" ht="14.5" customHeight="1">
      <c r="A25" s="14"/>
      <c r="B25" s="350"/>
      <c r="C25" s="351"/>
      <c r="D25" s="351"/>
      <c r="E25" s="351"/>
      <c r="F25" s="38" t="s">
        <v>48</v>
      </c>
      <c r="G25" s="39"/>
      <c r="H25" s="39"/>
      <c r="I25" s="40">
        <f>Alexander!V19*J36</f>
        <v>0.95255097660636701</v>
      </c>
      <c r="J25" s="36"/>
      <c r="K25" s="36"/>
      <c r="L25" s="36"/>
      <c r="M25" s="36"/>
      <c r="N25" s="37"/>
      <c r="O25" s="36"/>
      <c r="P25" s="6"/>
      <c r="Q25" s="372" t="s">
        <v>235</v>
      </c>
      <c r="R25" s="84" t="s">
        <v>210</v>
      </c>
      <c r="S25" s="46">
        <f>W27/W23</f>
        <v>1.5939375422036697</v>
      </c>
      <c r="T25" s="22"/>
      <c r="U25" s="45" t="s">
        <v>32</v>
      </c>
      <c r="V25" s="45"/>
      <c r="W25" s="47">
        <f>T10*R36</f>
        <v>84.358435915609434</v>
      </c>
      <c r="X25" s="6"/>
      <c r="Y25" s="6"/>
      <c r="Z25" s="14"/>
      <c r="AA25" s="14"/>
      <c r="AB25" s="14"/>
      <c r="AC25" s="14"/>
      <c r="AD25" s="14"/>
      <c r="AE25" s="14"/>
      <c r="AF25" s="14"/>
      <c r="AG25" s="14"/>
      <c r="AH25" s="14"/>
      <c r="AI25" s="14"/>
      <c r="AJ25" s="14"/>
      <c r="AK25" s="14"/>
      <c r="AL25" s="14"/>
      <c r="AM25" s="14"/>
      <c r="AN25" s="14"/>
      <c r="AO25" s="14"/>
      <c r="AP25" s="14"/>
      <c r="AR25" t="str">
        <f>IF(AR24&lt;$D$14,AR24+1,"")</f>
        <v/>
      </c>
      <c r="AS25" s="85">
        <f>IF(ISNUMBER(AR25),AV24,0)</f>
        <v>0</v>
      </c>
      <c r="AT25" s="85"/>
      <c r="AU25" s="85">
        <f t="shared" si="2"/>
        <v>0</v>
      </c>
      <c r="AV25" s="85">
        <f t="shared" si="6"/>
        <v>0</v>
      </c>
      <c r="AW25">
        <f t="shared" si="7"/>
        <v>0</v>
      </c>
      <c r="AX25" s="86">
        <f t="shared" si="0"/>
        <v>0</v>
      </c>
      <c r="AY25">
        <f t="shared" si="4"/>
        <v>0</v>
      </c>
      <c r="AZ25"/>
    </row>
    <row r="26" spans="1:53" ht="12" customHeight="1" thickBot="1">
      <c r="A26" s="14"/>
      <c r="B26" s="315"/>
      <c r="C26" s="352"/>
      <c r="D26" s="352"/>
      <c r="E26" s="352"/>
      <c r="F26" s="15"/>
      <c r="G26" s="6"/>
      <c r="H26" s="6"/>
      <c r="I26" s="6"/>
      <c r="J26" s="6"/>
      <c r="K26" s="6"/>
      <c r="L26" s="6"/>
      <c r="M26" s="6"/>
      <c r="N26" s="12"/>
      <c r="O26" s="36"/>
      <c r="P26" s="6"/>
      <c r="Q26" s="373"/>
      <c r="R26" s="15"/>
      <c r="S26" s="6"/>
      <c r="T26" s="6"/>
      <c r="U26" s="45" t="s">
        <v>14</v>
      </c>
      <c r="V26" s="45"/>
      <c r="W26" s="47">
        <f>V19*R36</f>
        <v>11.11751455649847</v>
      </c>
      <c r="X26" s="14"/>
      <c r="Y26" s="14"/>
      <c r="Z26" s="14"/>
      <c r="AA26" s="14"/>
      <c r="AB26" s="14"/>
      <c r="AC26" s="14"/>
      <c r="AD26" s="14"/>
      <c r="AE26" s="14"/>
      <c r="AF26" s="14"/>
      <c r="AG26" s="14"/>
      <c r="AH26" s="14"/>
      <c r="AI26" s="14"/>
      <c r="AJ26" s="14"/>
      <c r="AK26" s="14"/>
      <c r="AL26" s="14"/>
      <c r="AM26" s="14"/>
      <c r="AN26" s="14"/>
      <c r="AO26" s="14"/>
      <c r="AP26" s="14"/>
      <c r="AR26" t="str">
        <f t="shared" si="1"/>
        <v/>
      </c>
      <c r="AS26" s="85">
        <f t="shared" si="5"/>
        <v>0</v>
      </c>
      <c r="AT26" s="85"/>
      <c r="AU26" s="85">
        <f t="shared" si="2"/>
        <v>0</v>
      </c>
      <c r="AV26" s="85">
        <f t="shared" si="6"/>
        <v>0</v>
      </c>
      <c r="AW26">
        <f t="shared" si="7"/>
        <v>0</v>
      </c>
      <c r="AX26" s="86">
        <f t="shared" si="0"/>
        <v>0</v>
      </c>
      <c r="AY26">
        <f t="shared" si="4"/>
        <v>0</v>
      </c>
      <c r="AZ26"/>
    </row>
    <row r="27" spans="1:53" ht="12.5" customHeight="1">
      <c r="A27" s="14"/>
      <c r="B27" s="14"/>
      <c r="C27" s="14"/>
      <c r="D27" s="14"/>
      <c r="E27" s="6"/>
      <c r="F27" s="41" t="s">
        <v>41</v>
      </c>
      <c r="G27" s="42">
        <f>I21/I24</f>
        <v>20.608861842748929</v>
      </c>
      <c r="H27" s="43" t="s">
        <v>42</v>
      </c>
      <c r="I27" s="39"/>
      <c r="J27" s="39"/>
      <c r="K27" s="39"/>
      <c r="L27" s="39"/>
      <c r="M27" s="39"/>
      <c r="N27" s="44"/>
      <c r="O27" s="36"/>
      <c r="P27" s="6"/>
      <c r="Q27" s="373"/>
      <c r="R27" s="15"/>
      <c r="S27" s="6"/>
      <c r="T27" s="6"/>
      <c r="U27" s="45" t="s">
        <v>210</v>
      </c>
      <c r="V27" s="45"/>
      <c r="W27" s="47">
        <f>T11*R36</f>
        <v>53.220732151561236</v>
      </c>
      <c r="X27" s="14"/>
      <c r="Y27" s="14"/>
      <c r="Z27" s="14"/>
      <c r="AA27" s="14"/>
      <c r="AB27" s="14"/>
      <c r="AC27" s="14"/>
      <c r="AD27" s="14"/>
      <c r="AE27" s="14"/>
      <c r="AF27" s="14"/>
      <c r="AG27" s="14"/>
      <c r="AH27" s="14"/>
      <c r="AI27" s="14"/>
      <c r="AJ27" s="14"/>
      <c r="AK27" s="14"/>
      <c r="AL27" s="14"/>
      <c r="AM27" s="14"/>
      <c r="AN27" s="14"/>
      <c r="AO27" s="14"/>
      <c r="AP27" s="14"/>
      <c r="AR27" t="str">
        <f t="shared" si="1"/>
        <v/>
      </c>
      <c r="AS27" s="85">
        <f t="shared" si="5"/>
        <v>0</v>
      </c>
      <c r="AT27" s="85"/>
      <c r="AU27" s="85">
        <f t="shared" si="2"/>
        <v>0</v>
      </c>
      <c r="AV27" s="85">
        <f t="shared" si="6"/>
        <v>0</v>
      </c>
      <c r="AW27">
        <f t="shared" si="7"/>
        <v>0</v>
      </c>
      <c r="AX27" s="86">
        <f t="shared" si="0"/>
        <v>0</v>
      </c>
      <c r="AY27">
        <f t="shared" si="4"/>
        <v>0</v>
      </c>
      <c r="AZ27" s="117"/>
      <c r="BA27" s="14"/>
    </row>
    <row r="28" spans="1:53" s="14" customFormat="1" ht="14.5" customHeight="1" thickBot="1">
      <c r="E28" s="6"/>
      <c r="F28" s="41" t="s">
        <v>43</v>
      </c>
      <c r="G28" s="42">
        <f>I22/I24</f>
        <v>7.5878862570321326</v>
      </c>
      <c r="H28" s="43" t="s">
        <v>42</v>
      </c>
      <c r="I28" s="39"/>
      <c r="J28" s="39"/>
      <c r="K28" s="39"/>
      <c r="L28" s="39"/>
      <c r="M28" s="39"/>
      <c r="N28" s="44"/>
      <c r="O28" s="36"/>
      <c r="P28" s="6"/>
      <c r="Q28" s="374"/>
      <c r="R28" s="15"/>
      <c r="S28" s="6"/>
      <c r="T28" s="6"/>
      <c r="U28" s="6"/>
      <c r="V28" s="6"/>
      <c r="W28" s="12"/>
      <c r="AR28" t="str">
        <f t="shared" si="1"/>
        <v/>
      </c>
      <c r="AS28" s="85">
        <f t="shared" si="5"/>
        <v>0</v>
      </c>
      <c r="AT28" s="85"/>
      <c r="AU28" s="85">
        <f t="shared" si="2"/>
        <v>0</v>
      </c>
      <c r="AV28" s="85">
        <f t="shared" si="6"/>
        <v>0</v>
      </c>
      <c r="AW28">
        <f t="shared" si="7"/>
        <v>0</v>
      </c>
      <c r="AX28" s="86">
        <f t="shared" si="0"/>
        <v>0</v>
      </c>
      <c r="AY28">
        <f t="shared" si="4"/>
        <v>0</v>
      </c>
      <c r="AZ28"/>
      <c r="BA28" s="1"/>
    </row>
    <row r="29" spans="1:53" ht="13.75" customHeight="1">
      <c r="A29" s="14"/>
      <c r="B29" s="14"/>
      <c r="C29" s="14"/>
      <c r="D29" s="14"/>
      <c r="E29" s="6"/>
      <c r="F29" s="41" t="s">
        <v>228</v>
      </c>
      <c r="G29" s="42">
        <f>I23/I24</f>
        <v>4.7871070355785914</v>
      </c>
      <c r="H29" s="43" t="s">
        <v>42</v>
      </c>
      <c r="I29" s="39"/>
      <c r="J29" s="39"/>
      <c r="K29" s="39"/>
      <c r="L29" s="39"/>
      <c r="M29" s="39"/>
      <c r="N29" s="44"/>
      <c r="O29" s="36"/>
      <c r="P29" s="6"/>
      <c r="Q29" s="193"/>
      <c r="R29" s="375" t="s">
        <v>231</v>
      </c>
      <c r="S29" s="376"/>
      <c r="T29" s="376"/>
      <c r="U29" s="376"/>
      <c r="V29" s="376"/>
      <c r="W29" s="100">
        <f>W24-W23</f>
        <v>195.72985002123798</v>
      </c>
      <c r="X29" s="14"/>
      <c r="Y29" s="14"/>
      <c r="Z29" s="14"/>
      <c r="AA29" s="14"/>
      <c r="AB29" s="14"/>
      <c r="AC29" s="14"/>
      <c r="AD29" s="14"/>
      <c r="AE29" s="14"/>
      <c r="AF29" s="14"/>
      <c r="AG29" s="14"/>
      <c r="AH29" s="14"/>
      <c r="AI29" s="14"/>
      <c r="AJ29" s="14"/>
      <c r="AK29" s="14"/>
      <c r="AL29" s="14"/>
      <c r="AM29" s="14"/>
      <c r="AN29" s="14"/>
      <c r="AO29" s="14"/>
      <c r="AP29" s="14"/>
      <c r="AR29" t="str">
        <f t="shared" si="1"/>
        <v/>
      </c>
      <c r="AS29" s="85">
        <f t="shared" si="5"/>
        <v>0</v>
      </c>
      <c r="AT29" s="85"/>
      <c r="AU29" s="85">
        <f t="shared" si="2"/>
        <v>0</v>
      </c>
      <c r="AV29" s="85">
        <f t="shared" si="6"/>
        <v>0</v>
      </c>
      <c r="AW29">
        <f t="shared" si="7"/>
        <v>0</v>
      </c>
      <c r="AX29" s="86">
        <f t="shared" si="0"/>
        <v>0</v>
      </c>
      <c r="AY29">
        <f t="shared" si="4"/>
        <v>0</v>
      </c>
      <c r="AZ29"/>
    </row>
    <row r="30" spans="1:53" ht="13.25" customHeight="1">
      <c r="A30" s="14"/>
      <c r="B30" s="14"/>
      <c r="C30" s="14"/>
      <c r="D30" s="14"/>
      <c r="E30" s="6"/>
      <c r="F30" s="15"/>
      <c r="G30" s="6"/>
      <c r="H30" s="6"/>
      <c r="I30" s="6"/>
      <c r="J30" s="36"/>
      <c r="K30" s="36"/>
      <c r="L30" s="36"/>
      <c r="M30" s="36"/>
      <c r="N30" s="37"/>
      <c r="O30" s="36"/>
      <c r="P30" s="6"/>
      <c r="Q30" s="193"/>
      <c r="R30" s="375" t="s">
        <v>230</v>
      </c>
      <c r="S30" s="376"/>
      <c r="T30" s="376"/>
      <c r="U30" s="376"/>
      <c r="V30" s="376"/>
      <c r="W30" s="100">
        <f>W25-W23</f>
        <v>50.968964407220298</v>
      </c>
      <c r="X30" s="14"/>
      <c r="Y30" s="14"/>
      <c r="Z30" s="14"/>
      <c r="AA30" s="14"/>
      <c r="AB30" s="14"/>
      <c r="AC30" s="14"/>
      <c r="AD30" s="14"/>
      <c r="AE30" s="14"/>
      <c r="AF30" s="14"/>
      <c r="AG30" s="14"/>
      <c r="AH30" s="14"/>
      <c r="AI30" s="14"/>
      <c r="AJ30" s="14"/>
      <c r="AK30" s="14"/>
      <c r="AL30" s="14"/>
      <c r="AM30" s="14"/>
      <c r="AN30" s="14"/>
      <c r="AO30" s="14"/>
      <c r="AP30" s="14"/>
      <c r="AR30" t="str">
        <f t="shared" si="1"/>
        <v/>
      </c>
      <c r="AS30" s="85">
        <f t="shared" si="5"/>
        <v>0</v>
      </c>
      <c r="AT30" s="85"/>
      <c r="AU30" s="85">
        <f t="shared" si="2"/>
        <v>0</v>
      </c>
      <c r="AV30" s="85">
        <f t="shared" si="6"/>
        <v>0</v>
      </c>
      <c r="AW30">
        <f>IF(ISNUMBER(AR33),SUM(AT30:AU30),SUM(AT30:AV30))</f>
        <v>0</v>
      </c>
      <c r="AX30" s="86">
        <f t="shared" si="0"/>
        <v>0</v>
      </c>
      <c r="AY30">
        <f t="shared" si="4"/>
        <v>0</v>
      </c>
      <c r="AZ30"/>
    </row>
    <row r="31" spans="1:53" ht="13.25" customHeight="1" thickBot="1">
      <c r="A31" s="14"/>
      <c r="B31" s="14"/>
      <c r="C31" s="14"/>
      <c r="D31" s="14"/>
      <c r="E31" s="6"/>
      <c r="F31" s="368" t="s">
        <v>184</v>
      </c>
      <c r="G31" s="33" t="s">
        <v>33</v>
      </c>
      <c r="H31" s="34"/>
      <c r="I31" s="40">
        <f>1000/V14</f>
        <v>1624.7504288534722</v>
      </c>
      <c r="J31" s="36"/>
      <c r="K31" s="36"/>
      <c r="L31" s="36"/>
      <c r="M31" s="36"/>
      <c r="N31" s="37"/>
      <c r="O31" s="36"/>
      <c r="P31" s="6"/>
      <c r="Q31" s="194"/>
      <c r="R31" s="370" t="s">
        <v>229</v>
      </c>
      <c r="S31" s="371"/>
      <c r="T31" s="371"/>
      <c r="U31" s="371"/>
      <c r="V31" s="371"/>
      <c r="W31" s="101">
        <f>W27-W23</f>
        <v>19.831260643172101</v>
      </c>
      <c r="X31" s="14"/>
      <c r="Y31" s="14"/>
      <c r="Z31" s="14"/>
      <c r="AA31" s="14"/>
      <c r="AB31" s="14"/>
      <c r="AC31" s="14"/>
      <c r="AD31" s="14"/>
      <c r="AE31" s="14"/>
      <c r="AF31" s="14"/>
      <c r="AG31" s="14"/>
      <c r="AH31" s="14"/>
      <c r="AI31" s="14"/>
      <c r="AJ31" s="14"/>
      <c r="AK31" s="14"/>
      <c r="AL31" s="14"/>
      <c r="AM31" s="14"/>
      <c r="AN31" s="14"/>
      <c r="AO31" s="14"/>
      <c r="AP31" s="14"/>
      <c r="AR31"/>
      <c r="AS31" s="85"/>
      <c r="AT31" s="85"/>
      <c r="AU31" s="85"/>
      <c r="AV31" s="85"/>
      <c r="AW31"/>
      <c r="AX31" s="86"/>
      <c r="AY31"/>
      <c r="AZ31"/>
    </row>
    <row r="32" spans="1:53" ht="13.25" customHeight="1">
      <c r="A32" s="14"/>
      <c r="B32" s="14"/>
      <c r="C32" s="14"/>
      <c r="D32" s="14"/>
      <c r="E32" s="6"/>
      <c r="F32" s="368"/>
      <c r="G32" s="33" t="s">
        <v>32</v>
      </c>
      <c r="H32" s="34"/>
      <c r="I32" s="40">
        <f>1000/V15</f>
        <v>4588.5336626378439</v>
      </c>
      <c r="J32" s="36"/>
      <c r="K32" s="36"/>
      <c r="L32" s="36"/>
      <c r="M32" s="36"/>
      <c r="N32" s="37"/>
      <c r="O32" s="36"/>
      <c r="P32" s="6"/>
      <c r="Q32" s="114"/>
      <c r="R32" s="115"/>
      <c r="S32" s="115"/>
      <c r="T32" s="115"/>
      <c r="U32" s="115"/>
      <c r="V32" s="115"/>
      <c r="W32" s="116"/>
      <c r="X32" s="14"/>
      <c r="Y32" s="14"/>
      <c r="Z32" s="14"/>
      <c r="AA32" s="14"/>
      <c r="AB32" s="14"/>
      <c r="AC32" s="14"/>
      <c r="AD32" s="14"/>
      <c r="AE32" s="14"/>
      <c r="AF32" s="14"/>
      <c r="AG32" s="14"/>
      <c r="AH32" s="14"/>
      <c r="AI32" s="14"/>
      <c r="AJ32" s="14"/>
      <c r="AK32" s="14"/>
      <c r="AL32" s="14"/>
      <c r="AM32" s="14"/>
      <c r="AN32" s="14"/>
      <c r="AO32" s="14"/>
      <c r="AP32" s="14"/>
      <c r="AR32"/>
      <c r="AS32" s="85"/>
      <c r="AT32" s="85"/>
      <c r="AU32" s="85"/>
      <c r="AV32" s="85"/>
      <c r="AW32"/>
      <c r="AX32" s="86"/>
      <c r="AY32"/>
      <c r="AZ32"/>
    </row>
    <row r="33" spans="1:52" ht="13.75" customHeight="1" thickBot="1">
      <c r="A33" s="14"/>
      <c r="B33" s="14"/>
      <c r="C33" s="14"/>
      <c r="D33" s="14"/>
      <c r="E33" s="14"/>
      <c r="F33" s="369"/>
      <c r="G33" s="118" t="s">
        <v>210</v>
      </c>
      <c r="H33" s="119"/>
      <c r="I33" s="120">
        <f>1000/V16</f>
        <v>7311.1032664880295</v>
      </c>
      <c r="J33" s="7"/>
      <c r="K33" s="7"/>
      <c r="L33" s="7"/>
      <c r="M33" s="7"/>
      <c r="N33" s="182"/>
      <c r="O33" s="14"/>
      <c r="P33" s="14"/>
      <c r="Q33" s="114"/>
      <c r="R33" s="115"/>
      <c r="S33" s="115"/>
      <c r="T33" s="115"/>
      <c r="U33" s="115"/>
      <c r="V33" s="115"/>
      <c r="W33" s="116"/>
      <c r="X33" s="14"/>
      <c r="Y33" s="14"/>
      <c r="Z33" s="14"/>
      <c r="AA33" s="14"/>
      <c r="AB33" s="14"/>
      <c r="AC33" s="14"/>
      <c r="AD33" s="14"/>
      <c r="AE33" s="14"/>
      <c r="AF33" s="14"/>
      <c r="AG33" s="14"/>
      <c r="AH33" s="14"/>
      <c r="AI33" s="14"/>
      <c r="AJ33" s="14"/>
      <c r="AK33" s="14"/>
      <c r="AL33" s="14"/>
      <c r="AM33" s="14"/>
      <c r="AN33" s="14"/>
      <c r="AO33" s="14"/>
      <c r="AP33" s="14"/>
      <c r="AR33" t="str">
        <f>IF(AR30&lt;$D$14,AR30+1,"")</f>
        <v/>
      </c>
      <c r="AS33" s="85">
        <f>IF(ISNUMBER(AR33),AV30,0)</f>
        <v>0</v>
      </c>
      <c r="AT33" s="85"/>
      <c r="AU33" s="85">
        <f t="shared" si="2"/>
        <v>0</v>
      </c>
      <c r="AV33" s="85">
        <f t="shared" si="6"/>
        <v>0</v>
      </c>
      <c r="AW33">
        <f t="shared" si="7"/>
        <v>0</v>
      </c>
      <c r="AX33" s="86">
        <f>LN(AW33+$J$36)-LN($J$36)</f>
        <v>0</v>
      </c>
      <c r="AY33">
        <f t="shared" si="4"/>
        <v>0</v>
      </c>
    </row>
    <row r="34" spans="1:52" ht="51" customHeight="1" thickBot="1">
      <c r="B34" s="14"/>
      <c r="C34" s="14"/>
      <c r="D34" s="14"/>
      <c r="E34" s="14"/>
      <c r="F34" s="14"/>
      <c r="G34" s="14"/>
      <c r="H34" s="14"/>
      <c r="I34" s="14"/>
      <c r="J34" s="14"/>
      <c r="K34" s="14"/>
      <c r="L34" s="14"/>
      <c r="M34" s="14"/>
      <c r="N34" s="14"/>
      <c r="O34" s="14"/>
      <c r="P34" s="14"/>
      <c r="Q34" s="114"/>
      <c r="R34" s="115"/>
      <c r="S34" s="115"/>
      <c r="T34" s="115"/>
      <c r="U34" s="115"/>
      <c r="V34" s="115"/>
      <c r="W34" s="116"/>
      <c r="X34" s="14"/>
      <c r="Y34" s="14"/>
      <c r="Z34" s="14"/>
      <c r="AA34" s="14"/>
      <c r="AB34" s="14"/>
      <c r="AC34" s="14"/>
      <c r="AD34" s="14"/>
      <c r="AE34" s="14"/>
      <c r="AF34" s="14"/>
      <c r="AG34" s="14"/>
      <c r="AH34" s="14"/>
      <c r="AI34" s="14"/>
      <c r="AJ34" s="14"/>
      <c r="AK34" s="14"/>
      <c r="AL34" s="14"/>
      <c r="AM34" s="14"/>
      <c r="AQ34"/>
      <c r="AR34" t="str">
        <f t="shared" si="1"/>
        <v/>
      </c>
      <c r="AS34" s="85">
        <f t="shared" si="5"/>
        <v>0</v>
      </c>
      <c r="AT34" s="85"/>
      <c r="AU34" s="85">
        <f t="shared" si="2"/>
        <v>0</v>
      </c>
      <c r="AV34" s="85">
        <f t="shared" si="6"/>
        <v>0</v>
      </c>
      <c r="AW34">
        <f t="shared" si="7"/>
        <v>0</v>
      </c>
      <c r="AX34" s="86">
        <f>LN(AW34+$J$36)-LN($J$36)</f>
        <v>0</v>
      </c>
      <c r="AY34">
        <f t="shared" si="4"/>
        <v>0</v>
      </c>
    </row>
    <row r="35" spans="1:52" ht="31.25" customHeight="1">
      <c r="A35" s="14"/>
      <c r="B35" s="327" t="s">
        <v>29</v>
      </c>
      <c r="C35" s="16"/>
      <c r="D35" s="330" t="s">
        <v>24</v>
      </c>
      <c r="E35" s="331"/>
      <c r="F35" s="332"/>
      <c r="G35" s="18" t="s">
        <v>16</v>
      </c>
      <c r="H35" s="341" t="s">
        <v>27</v>
      </c>
      <c r="I35" s="342"/>
      <c r="J35" s="330" t="s">
        <v>26</v>
      </c>
      <c r="K35" s="331"/>
      <c r="L35" s="331"/>
      <c r="M35" s="331"/>
      <c r="N35" s="332"/>
      <c r="O35" s="330" t="s">
        <v>17</v>
      </c>
      <c r="P35" s="332"/>
      <c r="Q35" s="202" t="s">
        <v>18</v>
      </c>
      <c r="R35" s="103" t="s">
        <v>178</v>
      </c>
      <c r="S35" s="213" t="s">
        <v>25</v>
      </c>
      <c r="T35" s="214"/>
      <c r="U35" s="103" t="s">
        <v>172</v>
      </c>
      <c r="V35" s="103" t="s">
        <v>222</v>
      </c>
      <c r="W35" s="111" t="s">
        <v>225</v>
      </c>
      <c r="X35" s="14"/>
      <c r="Y35" s="14"/>
      <c r="Z35" s="14"/>
      <c r="AA35" s="14"/>
      <c r="AB35" s="14"/>
      <c r="AC35" s="14"/>
      <c r="AD35" s="14"/>
      <c r="AE35" s="14"/>
      <c r="AF35" s="14"/>
      <c r="AG35" s="14"/>
      <c r="AH35" s="14"/>
      <c r="AI35" s="14"/>
      <c r="AJ35" s="14"/>
      <c r="AK35" s="14"/>
      <c r="AL35" s="14"/>
      <c r="AM35" s="14"/>
      <c r="AQ35"/>
      <c r="AR35" t="str">
        <f t="shared" si="1"/>
        <v/>
      </c>
      <c r="AS35" s="85">
        <f t="shared" si="5"/>
        <v>0</v>
      </c>
      <c r="AT35" s="85"/>
      <c r="AU35" s="85">
        <f t="shared" si="2"/>
        <v>0</v>
      </c>
      <c r="AV35" s="85">
        <f t="shared" si="6"/>
        <v>0</v>
      </c>
      <c r="AW35">
        <f t="shared" si="7"/>
        <v>0</v>
      </c>
      <c r="AX35" s="86">
        <f>LN(AW35+$J$36)-LN($J$36)</f>
        <v>0</v>
      </c>
      <c r="AY35">
        <f t="shared" si="4"/>
        <v>0</v>
      </c>
      <c r="AZ35"/>
    </row>
    <row r="36" spans="1:52" ht="12" customHeight="1">
      <c r="A36" s="14"/>
      <c r="B36" s="328"/>
      <c r="C36" s="19" t="s">
        <v>20</v>
      </c>
      <c r="D36" s="333">
        <v>0.253</v>
      </c>
      <c r="E36" s="334"/>
      <c r="F36" s="335"/>
      <c r="G36" s="26">
        <v>2.41</v>
      </c>
      <c r="H36" s="336">
        <v>4.7</v>
      </c>
      <c r="I36" s="337"/>
      <c r="J36" s="338">
        <v>285.92</v>
      </c>
      <c r="K36" s="339"/>
      <c r="L36" s="339"/>
      <c r="M36" s="339"/>
      <c r="N36" s="340"/>
      <c r="O36" s="385">
        <v>1000</v>
      </c>
      <c r="P36" s="386"/>
      <c r="Q36" s="102">
        <v>288</v>
      </c>
      <c r="R36" s="104">
        <v>3337.06</v>
      </c>
      <c r="S36" s="204">
        <v>6.32</v>
      </c>
      <c r="T36" s="203"/>
      <c r="U36" s="185">
        <f>AVERAGE(36.46,36.59)</f>
        <v>36.525000000000006</v>
      </c>
      <c r="V36" s="185">
        <v>15</v>
      </c>
      <c r="W36" s="173">
        <v>0.43099999999999999</v>
      </c>
      <c r="X36" s="14"/>
      <c r="Y36" s="6"/>
      <c r="Z36" s="14"/>
      <c r="AA36" s="14"/>
      <c r="AB36" s="14"/>
      <c r="AC36" s="14"/>
      <c r="AD36" s="14"/>
      <c r="AE36" s="14"/>
      <c r="AF36" s="14"/>
      <c r="AG36" s="14"/>
      <c r="AH36" s="14"/>
      <c r="AI36" s="14"/>
      <c r="AJ36" s="14"/>
      <c r="AK36" s="14"/>
      <c r="AL36" s="14"/>
      <c r="AM36" s="14"/>
      <c r="AN36" s="14"/>
      <c r="AR36" t="str">
        <f t="shared" si="1"/>
        <v/>
      </c>
      <c r="AS36" s="85">
        <f t="shared" si="5"/>
        <v>0</v>
      </c>
      <c r="AT36" s="85"/>
      <c r="AU36" s="85">
        <f t="shared" si="2"/>
        <v>0</v>
      </c>
      <c r="AV36" s="85">
        <f t="shared" si="6"/>
        <v>0</v>
      </c>
      <c r="AW36">
        <f t="shared" si="7"/>
        <v>0</v>
      </c>
      <c r="AX36" s="86">
        <f>LN(AW36+$J$36)-LN($J$36)</f>
        <v>0</v>
      </c>
      <c r="AY36">
        <f t="shared" si="4"/>
        <v>0</v>
      </c>
      <c r="AZ36"/>
    </row>
    <row r="37" spans="1:52" ht="12" customHeight="1" thickBot="1">
      <c r="A37" s="14"/>
      <c r="B37" s="329"/>
      <c r="C37" s="20" t="s">
        <v>21</v>
      </c>
      <c r="D37" s="394" t="s">
        <v>22</v>
      </c>
      <c r="E37" s="394"/>
      <c r="F37" s="394"/>
      <c r="G37" s="393" t="s">
        <v>23</v>
      </c>
      <c r="H37" s="393"/>
      <c r="I37" s="393"/>
      <c r="J37" s="393"/>
      <c r="K37" s="393"/>
      <c r="L37" s="393"/>
      <c r="M37" s="393"/>
      <c r="N37" s="393"/>
      <c r="O37" s="393"/>
      <c r="P37" s="393"/>
      <c r="Q37" s="393"/>
      <c r="R37" s="364" t="s">
        <v>140</v>
      </c>
      <c r="S37" s="365"/>
      <c r="T37" s="366"/>
      <c r="U37" s="186" t="s">
        <v>185</v>
      </c>
      <c r="V37" s="187" t="s">
        <v>223</v>
      </c>
      <c r="W37" s="188" t="s">
        <v>307</v>
      </c>
      <c r="X37" s="14"/>
      <c r="Y37" s="6"/>
      <c r="Z37" s="14"/>
      <c r="AA37" s="14"/>
      <c r="AB37" s="14"/>
      <c r="AC37" s="14"/>
      <c r="AD37" s="14"/>
      <c r="AE37" s="14"/>
      <c r="AF37" s="14"/>
      <c r="AG37" s="14"/>
      <c r="AH37" s="14"/>
      <c r="AI37" s="14"/>
      <c r="AJ37" s="14"/>
      <c r="AK37" s="14"/>
      <c r="AL37" s="14"/>
      <c r="AM37" s="14"/>
      <c r="AN37" s="14"/>
      <c r="AO37" s="14"/>
      <c r="AP37" s="14"/>
      <c r="AR37" t="str">
        <f t="shared" si="1"/>
        <v/>
      </c>
      <c r="AS37" s="85">
        <f t="shared" si="5"/>
        <v>0</v>
      </c>
      <c r="AT37" s="85"/>
      <c r="AU37" s="85">
        <f t="shared" si="2"/>
        <v>0</v>
      </c>
      <c r="AV37" s="85">
        <f t="shared" si="6"/>
        <v>0</v>
      </c>
      <c r="AW37">
        <f t="shared" si="7"/>
        <v>0</v>
      </c>
      <c r="AX37" s="86">
        <f>LN(AW37+$J$36)-LN($J$36)</f>
        <v>0</v>
      </c>
      <c r="AY37">
        <f t="shared" si="4"/>
        <v>0</v>
      </c>
      <c r="AZ37"/>
    </row>
    <row r="38" spans="1:52" s="14" customFormat="1" ht="14">
      <c r="J38" s="148"/>
      <c r="K38" s="148"/>
      <c r="L38" s="148"/>
      <c r="M38" s="148"/>
      <c r="Y38" s="6"/>
      <c r="AR38" s="117" t="str">
        <f t="shared" si="1"/>
        <v/>
      </c>
      <c r="AS38" s="183">
        <f t="shared" si="5"/>
        <v>0</v>
      </c>
      <c r="AT38" s="183"/>
      <c r="AU38" s="183">
        <f t="shared" si="2"/>
        <v>0</v>
      </c>
      <c r="AV38" s="183">
        <f t="shared" si="6"/>
        <v>0</v>
      </c>
      <c r="AW38" s="117">
        <f t="shared" si="7"/>
        <v>0</v>
      </c>
      <c r="AX38" s="184">
        <f t="shared" ref="AX38:AX101" si="8">LN(AW38+$J$36)-LN($J$36)</f>
        <v>0</v>
      </c>
      <c r="AY38" s="117">
        <f t="shared" si="4"/>
        <v>0</v>
      </c>
      <c r="AZ38" s="117"/>
    </row>
    <row r="39" spans="1:52" s="14" customFormat="1" ht="14">
      <c r="AR39" s="117" t="str">
        <f t="shared" si="1"/>
        <v/>
      </c>
      <c r="AS39" s="183">
        <f t="shared" si="5"/>
        <v>0</v>
      </c>
      <c r="AT39" s="183"/>
      <c r="AU39" s="183">
        <f t="shared" si="2"/>
        <v>0</v>
      </c>
      <c r="AV39" s="183">
        <f t="shared" si="6"/>
        <v>0</v>
      </c>
      <c r="AW39" s="117">
        <f t="shared" si="7"/>
        <v>0</v>
      </c>
      <c r="AX39" s="184">
        <f t="shared" si="8"/>
        <v>0</v>
      </c>
      <c r="AY39" s="117">
        <f t="shared" si="4"/>
        <v>0</v>
      </c>
      <c r="AZ39" s="117"/>
    </row>
    <row r="40" spans="1:52" s="14" customFormat="1" ht="14">
      <c r="AR40" s="117" t="str">
        <f t="shared" si="1"/>
        <v/>
      </c>
      <c r="AS40" s="183">
        <f t="shared" si="5"/>
        <v>0</v>
      </c>
      <c r="AT40" s="183"/>
      <c r="AU40" s="183">
        <f t="shared" si="2"/>
        <v>0</v>
      </c>
      <c r="AV40" s="183">
        <f t="shared" si="6"/>
        <v>0</v>
      </c>
      <c r="AW40" s="117">
        <f t="shared" si="7"/>
        <v>0</v>
      </c>
      <c r="AX40" s="184">
        <f t="shared" si="8"/>
        <v>0</v>
      </c>
      <c r="AY40" s="117">
        <f t="shared" si="4"/>
        <v>0</v>
      </c>
      <c r="AZ40" s="117"/>
    </row>
    <row r="41" spans="1:52" s="14" customFormat="1" ht="14">
      <c r="AR41" s="117" t="str">
        <f t="shared" si="1"/>
        <v/>
      </c>
      <c r="AS41" s="183">
        <f t="shared" si="5"/>
        <v>0</v>
      </c>
      <c r="AT41" s="183"/>
      <c r="AU41" s="183">
        <f t="shared" si="2"/>
        <v>0</v>
      </c>
      <c r="AV41" s="183">
        <f t="shared" si="6"/>
        <v>0</v>
      </c>
      <c r="AW41" s="117">
        <f t="shared" si="7"/>
        <v>0</v>
      </c>
      <c r="AX41" s="184">
        <f t="shared" si="8"/>
        <v>0</v>
      </c>
      <c r="AY41" s="117">
        <f t="shared" si="4"/>
        <v>0</v>
      </c>
      <c r="AZ41" s="117"/>
    </row>
    <row r="42" spans="1:52" s="14" customFormat="1" ht="14">
      <c r="AR42" s="117" t="str">
        <f t="shared" si="1"/>
        <v/>
      </c>
      <c r="AS42" s="183">
        <f t="shared" si="5"/>
        <v>0</v>
      </c>
      <c r="AT42" s="183"/>
      <c r="AU42" s="183">
        <f t="shared" si="2"/>
        <v>0</v>
      </c>
      <c r="AV42" s="183">
        <f t="shared" si="6"/>
        <v>0</v>
      </c>
      <c r="AW42" s="117">
        <f t="shared" si="7"/>
        <v>0</v>
      </c>
      <c r="AX42" s="184">
        <f t="shared" si="8"/>
        <v>0</v>
      </c>
      <c r="AY42" s="117">
        <f t="shared" si="4"/>
        <v>0</v>
      </c>
      <c r="AZ42" s="117"/>
    </row>
    <row r="43" spans="1:52" s="14" customFormat="1" ht="14">
      <c r="AR43" s="117" t="str">
        <f t="shared" si="1"/>
        <v/>
      </c>
      <c r="AS43" s="183">
        <f t="shared" si="5"/>
        <v>0</v>
      </c>
      <c r="AT43" s="183"/>
      <c r="AU43" s="183">
        <f t="shared" si="2"/>
        <v>0</v>
      </c>
      <c r="AV43" s="183">
        <f t="shared" si="6"/>
        <v>0</v>
      </c>
      <c r="AW43" s="117">
        <f t="shared" si="7"/>
        <v>0</v>
      </c>
      <c r="AX43" s="184">
        <f t="shared" si="8"/>
        <v>0</v>
      </c>
      <c r="AY43" s="117">
        <f t="shared" si="4"/>
        <v>0</v>
      </c>
      <c r="AZ43" s="117"/>
    </row>
    <row r="44" spans="1:52" s="14" customFormat="1" ht="14">
      <c r="AR44" s="117" t="str">
        <f t="shared" si="1"/>
        <v/>
      </c>
      <c r="AS44" s="183">
        <f t="shared" si="5"/>
        <v>0</v>
      </c>
      <c r="AT44" s="183"/>
      <c r="AU44" s="183">
        <f t="shared" si="2"/>
        <v>0</v>
      </c>
      <c r="AV44" s="183">
        <f t="shared" si="6"/>
        <v>0</v>
      </c>
      <c r="AW44" s="117">
        <f t="shared" si="7"/>
        <v>0</v>
      </c>
      <c r="AX44" s="184">
        <f t="shared" si="8"/>
        <v>0</v>
      </c>
      <c r="AY44" s="117">
        <f t="shared" si="4"/>
        <v>0</v>
      </c>
      <c r="AZ44" s="117"/>
    </row>
    <row r="45" spans="1:52" s="14" customFormat="1" ht="14">
      <c r="AR45" s="117" t="str">
        <f t="shared" si="1"/>
        <v/>
      </c>
      <c r="AS45" s="183">
        <f t="shared" si="5"/>
        <v>0</v>
      </c>
      <c r="AT45" s="183"/>
      <c r="AU45" s="183">
        <f t="shared" si="2"/>
        <v>0</v>
      </c>
      <c r="AV45" s="183">
        <f t="shared" si="6"/>
        <v>0</v>
      </c>
      <c r="AW45" s="117">
        <f t="shared" si="7"/>
        <v>0</v>
      </c>
      <c r="AX45" s="184">
        <f t="shared" si="8"/>
        <v>0</v>
      </c>
      <c r="AY45" s="117">
        <f t="shared" si="4"/>
        <v>0</v>
      </c>
      <c r="AZ45" s="117"/>
    </row>
    <row r="46" spans="1:52" s="14" customFormat="1" ht="14">
      <c r="AR46" s="117" t="str">
        <f t="shared" si="1"/>
        <v/>
      </c>
      <c r="AS46" s="183">
        <f t="shared" si="5"/>
        <v>0</v>
      </c>
      <c r="AT46" s="183"/>
      <c r="AU46" s="183">
        <f t="shared" si="2"/>
        <v>0</v>
      </c>
      <c r="AV46" s="183">
        <f t="shared" si="6"/>
        <v>0</v>
      </c>
      <c r="AW46" s="117">
        <f t="shared" si="7"/>
        <v>0</v>
      </c>
      <c r="AX46" s="184">
        <f t="shared" si="8"/>
        <v>0</v>
      </c>
      <c r="AY46" s="117">
        <f t="shared" si="4"/>
        <v>0</v>
      </c>
      <c r="AZ46" s="117"/>
    </row>
    <row r="47" spans="1:52" s="14" customFormat="1" ht="14">
      <c r="AR47" s="117" t="str">
        <f t="shared" si="1"/>
        <v/>
      </c>
      <c r="AS47" s="183">
        <f t="shared" si="5"/>
        <v>0</v>
      </c>
      <c r="AT47" s="183"/>
      <c r="AU47" s="183">
        <f t="shared" si="2"/>
        <v>0</v>
      </c>
      <c r="AV47" s="183">
        <f t="shared" si="6"/>
        <v>0</v>
      </c>
      <c r="AW47" s="117">
        <f t="shared" si="7"/>
        <v>0</v>
      </c>
      <c r="AX47" s="184">
        <f t="shared" si="8"/>
        <v>0</v>
      </c>
      <c r="AY47" s="117">
        <f t="shared" si="4"/>
        <v>0</v>
      </c>
      <c r="AZ47" s="117"/>
    </row>
    <row r="48" spans="1:52" s="14" customFormat="1" ht="14">
      <c r="AR48" s="117" t="str">
        <f t="shared" si="1"/>
        <v/>
      </c>
      <c r="AS48" s="183">
        <f t="shared" si="5"/>
        <v>0</v>
      </c>
      <c r="AT48" s="183"/>
      <c r="AU48" s="183">
        <f t="shared" si="2"/>
        <v>0</v>
      </c>
      <c r="AV48" s="183">
        <f t="shared" si="6"/>
        <v>0</v>
      </c>
      <c r="AW48" s="117">
        <f t="shared" si="7"/>
        <v>0</v>
      </c>
      <c r="AX48" s="184">
        <f t="shared" si="8"/>
        <v>0</v>
      </c>
      <c r="AY48" s="117">
        <f t="shared" si="4"/>
        <v>0</v>
      </c>
      <c r="AZ48" s="117"/>
    </row>
    <row r="49" spans="44:52" s="14" customFormat="1" ht="14">
      <c r="AR49" s="117" t="str">
        <f t="shared" si="1"/>
        <v/>
      </c>
      <c r="AS49" s="183">
        <f t="shared" si="5"/>
        <v>0</v>
      </c>
      <c r="AT49" s="183"/>
      <c r="AU49" s="183">
        <f t="shared" si="2"/>
        <v>0</v>
      </c>
      <c r="AV49" s="183">
        <f t="shared" si="6"/>
        <v>0</v>
      </c>
      <c r="AW49" s="117">
        <f t="shared" si="7"/>
        <v>0</v>
      </c>
      <c r="AX49" s="184">
        <f t="shared" si="8"/>
        <v>0</v>
      </c>
      <c r="AY49" s="117">
        <f t="shared" si="4"/>
        <v>0</v>
      </c>
      <c r="AZ49" s="117"/>
    </row>
    <row r="50" spans="44:52" s="14" customFormat="1" ht="14">
      <c r="AR50" s="117" t="str">
        <f t="shared" si="1"/>
        <v/>
      </c>
      <c r="AS50" s="183">
        <f t="shared" si="5"/>
        <v>0</v>
      </c>
      <c r="AT50" s="183"/>
      <c r="AU50" s="183">
        <f t="shared" si="2"/>
        <v>0</v>
      </c>
      <c r="AV50" s="183">
        <f t="shared" si="6"/>
        <v>0</v>
      </c>
      <c r="AW50" s="117">
        <f t="shared" si="7"/>
        <v>0</v>
      </c>
      <c r="AX50" s="184">
        <f t="shared" si="8"/>
        <v>0</v>
      </c>
      <c r="AY50" s="117">
        <f t="shared" si="4"/>
        <v>0</v>
      </c>
      <c r="AZ50" s="117"/>
    </row>
    <row r="51" spans="44:52" s="14" customFormat="1" ht="14">
      <c r="AR51" s="117" t="str">
        <f t="shared" si="1"/>
        <v/>
      </c>
      <c r="AS51" s="183">
        <f t="shared" si="5"/>
        <v>0</v>
      </c>
      <c r="AT51" s="183"/>
      <c r="AU51" s="183">
        <f t="shared" si="2"/>
        <v>0</v>
      </c>
      <c r="AV51" s="183">
        <f t="shared" si="6"/>
        <v>0</v>
      </c>
      <c r="AW51" s="117">
        <f t="shared" si="7"/>
        <v>0</v>
      </c>
      <c r="AX51" s="184">
        <f t="shared" si="8"/>
        <v>0</v>
      </c>
      <c r="AY51" s="117">
        <f t="shared" si="4"/>
        <v>0</v>
      </c>
      <c r="AZ51" s="117"/>
    </row>
    <row r="52" spans="44:52" s="14" customFormat="1" ht="14">
      <c r="AR52" s="117" t="str">
        <f t="shared" si="1"/>
        <v/>
      </c>
      <c r="AS52" s="183">
        <f t="shared" si="5"/>
        <v>0</v>
      </c>
      <c r="AT52" s="183"/>
      <c r="AU52" s="183">
        <f t="shared" si="2"/>
        <v>0</v>
      </c>
      <c r="AV52" s="183">
        <f t="shared" si="6"/>
        <v>0</v>
      </c>
      <c r="AW52" s="117">
        <f t="shared" si="7"/>
        <v>0</v>
      </c>
      <c r="AX52" s="184">
        <f t="shared" si="8"/>
        <v>0</v>
      </c>
      <c r="AY52" s="117">
        <f t="shared" si="4"/>
        <v>0</v>
      </c>
      <c r="AZ52" s="117"/>
    </row>
    <row r="53" spans="44:52" s="14" customFormat="1" ht="14">
      <c r="AR53" s="117" t="str">
        <f t="shared" si="1"/>
        <v/>
      </c>
      <c r="AS53" s="183">
        <f t="shared" si="5"/>
        <v>0</v>
      </c>
      <c r="AT53" s="183"/>
      <c r="AU53" s="183">
        <f t="shared" si="2"/>
        <v>0</v>
      </c>
      <c r="AV53" s="183">
        <f t="shared" si="6"/>
        <v>0</v>
      </c>
      <c r="AW53" s="117">
        <f t="shared" si="7"/>
        <v>0</v>
      </c>
      <c r="AX53" s="184">
        <f t="shared" si="8"/>
        <v>0</v>
      </c>
      <c r="AY53" s="117">
        <f t="shared" si="4"/>
        <v>0</v>
      </c>
      <c r="AZ53" s="117"/>
    </row>
    <row r="54" spans="44:52" s="14" customFormat="1" ht="14">
      <c r="AR54" s="117" t="str">
        <f t="shared" si="1"/>
        <v/>
      </c>
      <c r="AS54" s="183">
        <f t="shared" si="5"/>
        <v>0</v>
      </c>
      <c r="AT54" s="183"/>
      <c r="AU54" s="183">
        <f t="shared" si="2"/>
        <v>0</v>
      </c>
      <c r="AV54" s="183">
        <f t="shared" si="6"/>
        <v>0</v>
      </c>
      <c r="AW54" s="117">
        <f t="shared" si="7"/>
        <v>0</v>
      </c>
      <c r="AX54" s="184">
        <f t="shared" si="8"/>
        <v>0</v>
      </c>
      <c r="AY54" s="117">
        <f t="shared" si="4"/>
        <v>0</v>
      </c>
      <c r="AZ54" s="117"/>
    </row>
    <row r="55" spans="44:52" s="14" customFormat="1" ht="14">
      <c r="AR55" s="117" t="str">
        <f t="shared" si="1"/>
        <v/>
      </c>
      <c r="AS55" s="183">
        <f t="shared" si="5"/>
        <v>0</v>
      </c>
      <c r="AT55" s="183"/>
      <c r="AU55" s="183">
        <f t="shared" si="2"/>
        <v>0</v>
      </c>
      <c r="AV55" s="183">
        <f t="shared" si="6"/>
        <v>0</v>
      </c>
      <c r="AW55" s="117">
        <f t="shared" si="7"/>
        <v>0</v>
      </c>
      <c r="AX55" s="184">
        <f t="shared" si="8"/>
        <v>0</v>
      </c>
      <c r="AY55" s="117">
        <f t="shared" si="4"/>
        <v>0</v>
      </c>
      <c r="AZ55" s="117"/>
    </row>
    <row r="56" spans="44:52" s="14" customFormat="1" ht="14">
      <c r="AR56" s="117" t="str">
        <f t="shared" si="1"/>
        <v/>
      </c>
      <c r="AS56" s="183">
        <f t="shared" si="5"/>
        <v>0</v>
      </c>
      <c r="AT56" s="183"/>
      <c r="AU56" s="183">
        <f t="shared" si="2"/>
        <v>0</v>
      </c>
      <c r="AV56" s="183">
        <f t="shared" si="6"/>
        <v>0</v>
      </c>
      <c r="AW56" s="117">
        <f t="shared" si="7"/>
        <v>0</v>
      </c>
      <c r="AX56" s="184">
        <f t="shared" si="8"/>
        <v>0</v>
      </c>
      <c r="AY56" s="117">
        <f t="shared" si="4"/>
        <v>0</v>
      </c>
      <c r="AZ56" s="117"/>
    </row>
    <row r="57" spans="44:52" s="14" customFormat="1" ht="14">
      <c r="AR57" s="117" t="str">
        <f t="shared" si="1"/>
        <v/>
      </c>
      <c r="AS57" s="183">
        <f t="shared" si="5"/>
        <v>0</v>
      </c>
      <c r="AT57" s="183"/>
      <c r="AU57" s="183">
        <f t="shared" si="2"/>
        <v>0</v>
      </c>
      <c r="AV57" s="183">
        <f t="shared" si="6"/>
        <v>0</v>
      </c>
      <c r="AW57" s="117">
        <f t="shared" si="7"/>
        <v>0</v>
      </c>
      <c r="AX57" s="184">
        <f t="shared" si="8"/>
        <v>0</v>
      </c>
      <c r="AY57" s="117">
        <f t="shared" si="4"/>
        <v>0</v>
      </c>
      <c r="AZ57" s="117"/>
    </row>
    <row r="58" spans="44:52" s="14" customFormat="1" ht="14">
      <c r="AR58" s="117" t="str">
        <f t="shared" si="1"/>
        <v/>
      </c>
      <c r="AS58" s="183">
        <f t="shared" si="5"/>
        <v>0</v>
      </c>
      <c r="AT58" s="183"/>
      <c r="AU58" s="183">
        <f t="shared" si="2"/>
        <v>0</v>
      </c>
      <c r="AV58" s="183">
        <f t="shared" si="6"/>
        <v>0</v>
      </c>
      <c r="AW58" s="117">
        <f t="shared" si="7"/>
        <v>0</v>
      </c>
      <c r="AX58" s="184">
        <f t="shared" si="8"/>
        <v>0</v>
      </c>
      <c r="AY58" s="117">
        <f t="shared" si="4"/>
        <v>0</v>
      </c>
      <c r="AZ58" s="117"/>
    </row>
    <row r="59" spans="44:52" s="14" customFormat="1" ht="14">
      <c r="AR59" s="117" t="str">
        <f t="shared" si="1"/>
        <v/>
      </c>
      <c r="AS59" s="183">
        <f t="shared" si="5"/>
        <v>0</v>
      </c>
      <c r="AT59" s="183"/>
      <c r="AU59" s="183">
        <f t="shared" si="2"/>
        <v>0</v>
      </c>
      <c r="AV59" s="183">
        <f t="shared" si="6"/>
        <v>0</v>
      </c>
      <c r="AW59" s="117">
        <f t="shared" si="7"/>
        <v>0</v>
      </c>
      <c r="AX59" s="184">
        <f t="shared" si="8"/>
        <v>0</v>
      </c>
      <c r="AY59" s="117">
        <f t="shared" si="4"/>
        <v>0</v>
      </c>
      <c r="AZ59" s="117"/>
    </row>
    <row r="60" spans="44:52" s="14" customFormat="1" ht="14">
      <c r="AR60" s="117" t="str">
        <f t="shared" si="1"/>
        <v/>
      </c>
      <c r="AS60" s="183">
        <f t="shared" si="5"/>
        <v>0</v>
      </c>
      <c r="AT60" s="183"/>
      <c r="AU60" s="183">
        <f t="shared" si="2"/>
        <v>0</v>
      </c>
      <c r="AV60" s="183">
        <f t="shared" si="6"/>
        <v>0</v>
      </c>
      <c r="AW60" s="117">
        <f t="shared" si="7"/>
        <v>0</v>
      </c>
      <c r="AX60" s="184">
        <f t="shared" si="8"/>
        <v>0</v>
      </c>
      <c r="AY60" s="117">
        <f t="shared" si="4"/>
        <v>0</v>
      </c>
      <c r="AZ60" s="117"/>
    </row>
    <row r="61" spans="44:52" s="14" customFormat="1" ht="14">
      <c r="AR61" s="117" t="str">
        <f t="shared" si="1"/>
        <v/>
      </c>
      <c r="AS61" s="183">
        <f t="shared" si="5"/>
        <v>0</v>
      </c>
      <c r="AT61" s="183"/>
      <c r="AU61" s="183">
        <f t="shared" si="2"/>
        <v>0</v>
      </c>
      <c r="AV61" s="183">
        <f t="shared" si="6"/>
        <v>0</v>
      </c>
      <c r="AW61" s="117">
        <f t="shared" si="7"/>
        <v>0</v>
      </c>
      <c r="AX61" s="184">
        <f t="shared" si="8"/>
        <v>0</v>
      </c>
      <c r="AY61" s="117">
        <f t="shared" si="4"/>
        <v>0</v>
      </c>
      <c r="AZ61" s="117"/>
    </row>
    <row r="62" spans="44:52" s="14" customFormat="1" ht="14">
      <c r="AR62" s="117" t="str">
        <f t="shared" si="1"/>
        <v/>
      </c>
      <c r="AS62" s="183">
        <f t="shared" si="5"/>
        <v>0</v>
      </c>
      <c r="AT62" s="183"/>
      <c r="AU62" s="183">
        <f t="shared" si="2"/>
        <v>0</v>
      </c>
      <c r="AV62" s="183">
        <f t="shared" si="6"/>
        <v>0</v>
      </c>
      <c r="AW62" s="117">
        <f t="shared" si="7"/>
        <v>0</v>
      </c>
      <c r="AX62" s="184">
        <f t="shared" si="8"/>
        <v>0</v>
      </c>
      <c r="AY62" s="117">
        <f t="shared" si="4"/>
        <v>0</v>
      </c>
      <c r="AZ62" s="117"/>
    </row>
    <row r="63" spans="44:52" s="14" customFormat="1" ht="14">
      <c r="AR63" s="117" t="str">
        <f t="shared" si="1"/>
        <v/>
      </c>
      <c r="AS63" s="183">
        <f t="shared" si="5"/>
        <v>0</v>
      </c>
      <c r="AT63" s="183"/>
      <c r="AU63" s="183">
        <f t="shared" si="2"/>
        <v>0</v>
      </c>
      <c r="AV63" s="183">
        <f t="shared" si="6"/>
        <v>0</v>
      </c>
      <c r="AW63" s="117">
        <f t="shared" si="7"/>
        <v>0</v>
      </c>
      <c r="AX63" s="184">
        <f t="shared" si="8"/>
        <v>0</v>
      </c>
      <c r="AY63" s="117">
        <f t="shared" si="4"/>
        <v>0</v>
      </c>
      <c r="AZ63" s="117"/>
    </row>
    <row r="64" spans="44:52" s="14" customFormat="1" ht="14">
      <c r="AR64" s="117" t="str">
        <f t="shared" si="1"/>
        <v/>
      </c>
      <c r="AS64" s="183">
        <f t="shared" si="5"/>
        <v>0</v>
      </c>
      <c r="AT64" s="183"/>
      <c r="AU64" s="183">
        <f t="shared" si="2"/>
        <v>0</v>
      </c>
      <c r="AV64" s="183">
        <f t="shared" si="6"/>
        <v>0</v>
      </c>
      <c r="AW64" s="117">
        <f t="shared" si="7"/>
        <v>0</v>
      </c>
      <c r="AX64" s="184">
        <f t="shared" si="8"/>
        <v>0</v>
      </c>
      <c r="AY64" s="117">
        <f t="shared" si="4"/>
        <v>0</v>
      </c>
      <c r="AZ64" s="117"/>
    </row>
    <row r="65" spans="44:52" s="14" customFormat="1" ht="14">
      <c r="AR65" s="117" t="str">
        <f t="shared" si="1"/>
        <v/>
      </c>
      <c r="AS65" s="183">
        <f t="shared" si="5"/>
        <v>0</v>
      </c>
      <c r="AT65" s="183"/>
      <c r="AU65" s="183">
        <f t="shared" si="2"/>
        <v>0</v>
      </c>
      <c r="AV65" s="183">
        <f t="shared" si="6"/>
        <v>0</v>
      </c>
      <c r="AW65" s="117">
        <f t="shared" si="7"/>
        <v>0</v>
      </c>
      <c r="AX65" s="184">
        <f t="shared" si="8"/>
        <v>0</v>
      </c>
      <c r="AY65" s="117">
        <f t="shared" si="4"/>
        <v>0</v>
      </c>
      <c r="AZ65" s="117"/>
    </row>
    <row r="66" spans="44:52" s="14" customFormat="1" ht="14">
      <c r="AR66" s="117" t="str">
        <f t="shared" si="1"/>
        <v/>
      </c>
      <c r="AS66" s="183">
        <f t="shared" si="5"/>
        <v>0</v>
      </c>
      <c r="AT66" s="183"/>
      <c r="AU66" s="183">
        <f t="shared" si="2"/>
        <v>0</v>
      </c>
      <c r="AV66" s="183">
        <f t="shared" si="6"/>
        <v>0</v>
      </c>
      <c r="AW66" s="117">
        <f t="shared" si="7"/>
        <v>0</v>
      </c>
      <c r="AX66" s="184">
        <f t="shared" si="8"/>
        <v>0</v>
      </c>
      <c r="AY66" s="117">
        <f t="shared" si="4"/>
        <v>0</v>
      </c>
      <c r="AZ66" s="117"/>
    </row>
    <row r="67" spans="44:52" s="14" customFormat="1" ht="14">
      <c r="AR67" s="117" t="str">
        <f t="shared" si="1"/>
        <v/>
      </c>
      <c r="AS67" s="183">
        <f t="shared" si="5"/>
        <v>0</v>
      </c>
      <c r="AT67" s="183"/>
      <c r="AU67" s="183">
        <f t="shared" si="2"/>
        <v>0</v>
      </c>
      <c r="AV67" s="183">
        <f t="shared" si="6"/>
        <v>0</v>
      </c>
      <c r="AW67" s="117">
        <f t="shared" si="7"/>
        <v>0</v>
      </c>
      <c r="AX67" s="184">
        <f t="shared" si="8"/>
        <v>0</v>
      </c>
      <c r="AY67" s="117">
        <f t="shared" si="4"/>
        <v>0</v>
      </c>
      <c r="AZ67" s="117"/>
    </row>
    <row r="68" spans="44:52" s="14" customFormat="1" ht="14">
      <c r="AR68" s="117" t="str">
        <f t="shared" si="1"/>
        <v/>
      </c>
      <c r="AS68" s="183">
        <f t="shared" si="5"/>
        <v>0</v>
      </c>
      <c r="AT68" s="183"/>
      <c r="AU68" s="183">
        <f t="shared" si="2"/>
        <v>0</v>
      </c>
      <c r="AV68" s="183">
        <f t="shared" si="6"/>
        <v>0</v>
      </c>
      <c r="AW68" s="117">
        <f t="shared" si="7"/>
        <v>0</v>
      </c>
      <c r="AX68" s="184">
        <f t="shared" si="8"/>
        <v>0</v>
      </c>
      <c r="AY68" s="117">
        <f t="shared" si="4"/>
        <v>0</v>
      </c>
      <c r="AZ68" s="117"/>
    </row>
    <row r="69" spans="44:52" s="14" customFormat="1" ht="14">
      <c r="AR69" s="117" t="str">
        <f t="shared" ref="AR69:AR113" si="9">IF(AR68&lt;$D$14,AR68+1,"")</f>
        <v/>
      </c>
      <c r="AS69" s="183">
        <f t="shared" si="5"/>
        <v>0</v>
      </c>
      <c r="AT69" s="183"/>
      <c r="AU69" s="183">
        <f t="shared" si="2"/>
        <v>0</v>
      </c>
      <c r="AV69" s="183">
        <f t="shared" si="6"/>
        <v>0</v>
      </c>
      <c r="AW69" s="117">
        <f t="shared" si="7"/>
        <v>0</v>
      </c>
      <c r="AX69" s="184">
        <f t="shared" si="8"/>
        <v>0</v>
      </c>
      <c r="AY69" s="117">
        <f t="shared" si="4"/>
        <v>0</v>
      </c>
      <c r="AZ69" s="117"/>
    </row>
    <row r="70" spans="44:52" s="14" customFormat="1" ht="14">
      <c r="AR70" s="117" t="str">
        <f t="shared" si="9"/>
        <v/>
      </c>
      <c r="AS70" s="183">
        <f t="shared" si="5"/>
        <v>0</v>
      </c>
      <c r="AT70" s="183"/>
      <c r="AU70" s="183">
        <f t="shared" si="2"/>
        <v>0</v>
      </c>
      <c r="AV70" s="183">
        <f t="shared" si="6"/>
        <v>0</v>
      </c>
      <c r="AW70" s="117">
        <f t="shared" si="7"/>
        <v>0</v>
      </c>
      <c r="AX70" s="184">
        <f t="shared" si="8"/>
        <v>0</v>
      </c>
      <c r="AY70" s="117">
        <f t="shared" si="4"/>
        <v>0</v>
      </c>
      <c r="AZ70" s="117"/>
    </row>
    <row r="71" spans="44:52" s="14" customFormat="1" ht="14">
      <c r="AR71" s="117" t="str">
        <f t="shared" si="9"/>
        <v/>
      </c>
      <c r="AS71" s="183">
        <f t="shared" si="5"/>
        <v>0</v>
      </c>
      <c r="AT71" s="183"/>
      <c r="AU71" s="183">
        <f t="shared" ref="AU71:AU113" si="10">$D$10*AS71</f>
        <v>0</v>
      </c>
      <c r="AV71" s="183">
        <f t="shared" si="6"/>
        <v>0</v>
      </c>
      <c r="AW71" s="117">
        <f t="shared" si="7"/>
        <v>0</v>
      </c>
      <c r="AX71" s="184">
        <f t="shared" si="8"/>
        <v>0</v>
      </c>
      <c r="AY71" s="117">
        <f t="shared" ref="AY71:AY113" si="11">IF(ISNUMBER(AR71),AX71/(1+$D$7)^AR71,0)</f>
        <v>0</v>
      </c>
      <c r="AZ71" s="117"/>
    </row>
    <row r="72" spans="44:52" s="14" customFormat="1" ht="14">
      <c r="AR72" s="117" t="str">
        <f t="shared" si="9"/>
        <v/>
      </c>
      <c r="AS72" s="183">
        <f t="shared" ref="AS72:AS113" si="12">IF(ISNUMBER(AR72),AV71,0)</f>
        <v>0</v>
      </c>
      <c r="AT72" s="183"/>
      <c r="AU72" s="183">
        <f t="shared" si="10"/>
        <v>0</v>
      </c>
      <c r="AV72" s="183">
        <f t="shared" ref="AV72:AV113" si="13">AS72</f>
        <v>0</v>
      </c>
      <c r="AW72" s="117">
        <f t="shared" si="7"/>
        <v>0</v>
      </c>
      <c r="AX72" s="184">
        <f t="shared" si="8"/>
        <v>0</v>
      </c>
      <c r="AY72" s="117">
        <f t="shared" si="11"/>
        <v>0</v>
      </c>
      <c r="AZ72" s="117"/>
    </row>
    <row r="73" spans="44:52" s="14" customFormat="1" ht="14">
      <c r="AR73" s="117" t="str">
        <f t="shared" si="9"/>
        <v/>
      </c>
      <c r="AS73" s="183">
        <f t="shared" si="12"/>
        <v>0</v>
      </c>
      <c r="AT73" s="183"/>
      <c r="AU73" s="183">
        <f t="shared" si="10"/>
        <v>0</v>
      </c>
      <c r="AV73" s="183">
        <f t="shared" si="13"/>
        <v>0</v>
      </c>
      <c r="AW73" s="117">
        <f t="shared" si="7"/>
        <v>0</v>
      </c>
      <c r="AX73" s="184">
        <f t="shared" si="8"/>
        <v>0</v>
      </c>
      <c r="AY73" s="117">
        <f t="shared" si="11"/>
        <v>0</v>
      </c>
      <c r="AZ73" s="117"/>
    </row>
    <row r="74" spans="44:52" s="14" customFormat="1" ht="14">
      <c r="AR74" s="117" t="str">
        <f t="shared" si="9"/>
        <v/>
      </c>
      <c r="AS74" s="183">
        <f t="shared" si="12"/>
        <v>0</v>
      </c>
      <c r="AT74" s="183"/>
      <c r="AU74" s="183">
        <f t="shared" si="10"/>
        <v>0</v>
      </c>
      <c r="AV74" s="183">
        <f t="shared" si="13"/>
        <v>0</v>
      </c>
      <c r="AW74" s="117">
        <f t="shared" si="7"/>
        <v>0</v>
      </c>
      <c r="AX74" s="184">
        <f t="shared" si="8"/>
        <v>0</v>
      </c>
      <c r="AY74" s="117">
        <f t="shared" si="11"/>
        <v>0</v>
      </c>
      <c r="AZ74" s="117"/>
    </row>
    <row r="75" spans="44:52" s="14" customFormat="1" ht="14">
      <c r="AR75" s="117" t="str">
        <f t="shared" si="9"/>
        <v/>
      </c>
      <c r="AS75" s="183">
        <f t="shared" si="12"/>
        <v>0</v>
      </c>
      <c r="AT75" s="183"/>
      <c r="AU75" s="183">
        <f t="shared" si="10"/>
        <v>0</v>
      </c>
      <c r="AV75" s="183">
        <f t="shared" si="13"/>
        <v>0</v>
      </c>
      <c r="AW75" s="117">
        <f t="shared" si="7"/>
        <v>0</v>
      </c>
      <c r="AX75" s="184">
        <f t="shared" si="8"/>
        <v>0</v>
      </c>
      <c r="AY75" s="117">
        <f t="shared" si="11"/>
        <v>0</v>
      </c>
      <c r="AZ75" s="117"/>
    </row>
    <row r="76" spans="44:52" s="14" customFormat="1" ht="14">
      <c r="AR76" s="117" t="str">
        <f t="shared" si="9"/>
        <v/>
      </c>
      <c r="AS76" s="183">
        <f t="shared" si="12"/>
        <v>0</v>
      </c>
      <c r="AT76" s="183"/>
      <c r="AU76" s="183">
        <f t="shared" si="10"/>
        <v>0</v>
      </c>
      <c r="AV76" s="183">
        <f t="shared" si="13"/>
        <v>0</v>
      </c>
      <c r="AW76" s="117">
        <f t="shared" si="7"/>
        <v>0</v>
      </c>
      <c r="AX76" s="184">
        <f t="shared" si="8"/>
        <v>0</v>
      </c>
      <c r="AY76" s="117">
        <f t="shared" si="11"/>
        <v>0</v>
      </c>
      <c r="AZ76" s="117"/>
    </row>
    <row r="77" spans="44:52" s="14" customFormat="1" ht="14">
      <c r="AR77" s="117" t="str">
        <f t="shared" si="9"/>
        <v/>
      </c>
      <c r="AS77" s="183">
        <f t="shared" si="12"/>
        <v>0</v>
      </c>
      <c r="AT77" s="183"/>
      <c r="AU77" s="183">
        <f t="shared" si="10"/>
        <v>0</v>
      </c>
      <c r="AV77" s="183">
        <f t="shared" si="13"/>
        <v>0</v>
      </c>
      <c r="AW77" s="117">
        <f t="shared" si="7"/>
        <v>0</v>
      </c>
      <c r="AX77" s="184">
        <f t="shared" si="8"/>
        <v>0</v>
      </c>
      <c r="AY77" s="117">
        <f t="shared" si="11"/>
        <v>0</v>
      </c>
      <c r="AZ77" s="117"/>
    </row>
    <row r="78" spans="44:52" s="14" customFormat="1" ht="14">
      <c r="AR78" s="117" t="str">
        <f t="shared" si="9"/>
        <v/>
      </c>
      <c r="AS78" s="183">
        <f t="shared" si="12"/>
        <v>0</v>
      </c>
      <c r="AT78" s="183"/>
      <c r="AU78" s="183">
        <f t="shared" si="10"/>
        <v>0</v>
      </c>
      <c r="AV78" s="183">
        <f t="shared" si="13"/>
        <v>0</v>
      </c>
      <c r="AW78" s="117">
        <f t="shared" si="7"/>
        <v>0</v>
      </c>
      <c r="AX78" s="184">
        <f t="shared" si="8"/>
        <v>0</v>
      </c>
      <c r="AY78" s="117">
        <f t="shared" si="11"/>
        <v>0</v>
      </c>
      <c r="AZ78" s="117"/>
    </row>
    <row r="79" spans="44:52" s="14" customFormat="1" ht="14">
      <c r="AR79" s="117" t="str">
        <f t="shared" si="9"/>
        <v/>
      </c>
      <c r="AS79" s="183">
        <f t="shared" si="12"/>
        <v>0</v>
      </c>
      <c r="AT79" s="183"/>
      <c r="AU79" s="183">
        <f t="shared" si="10"/>
        <v>0</v>
      </c>
      <c r="AV79" s="183">
        <f t="shared" si="13"/>
        <v>0</v>
      </c>
      <c r="AW79" s="117">
        <f t="shared" si="7"/>
        <v>0</v>
      </c>
      <c r="AX79" s="184">
        <f t="shared" si="8"/>
        <v>0</v>
      </c>
      <c r="AY79" s="117">
        <f t="shared" si="11"/>
        <v>0</v>
      </c>
      <c r="AZ79" s="117"/>
    </row>
    <row r="80" spans="44:52" s="14" customFormat="1" ht="14">
      <c r="AR80" s="117" t="str">
        <f t="shared" si="9"/>
        <v/>
      </c>
      <c r="AS80" s="183">
        <f t="shared" si="12"/>
        <v>0</v>
      </c>
      <c r="AT80" s="183"/>
      <c r="AU80" s="183">
        <f t="shared" si="10"/>
        <v>0</v>
      </c>
      <c r="AV80" s="183">
        <f t="shared" si="13"/>
        <v>0</v>
      </c>
      <c r="AW80" s="117">
        <f t="shared" si="7"/>
        <v>0</v>
      </c>
      <c r="AX80" s="184">
        <f t="shared" si="8"/>
        <v>0</v>
      </c>
      <c r="AY80" s="117">
        <f t="shared" si="11"/>
        <v>0</v>
      </c>
      <c r="AZ80" s="117"/>
    </row>
    <row r="81" spans="44:52" s="14" customFormat="1" ht="14">
      <c r="AR81" s="117" t="str">
        <f t="shared" si="9"/>
        <v/>
      </c>
      <c r="AS81" s="183">
        <f t="shared" si="12"/>
        <v>0</v>
      </c>
      <c r="AT81" s="183"/>
      <c r="AU81" s="183">
        <f t="shared" si="10"/>
        <v>0</v>
      </c>
      <c r="AV81" s="183">
        <f t="shared" si="13"/>
        <v>0</v>
      </c>
      <c r="AW81" s="117">
        <f t="shared" ref="AW81:AW113" si="14">IF(ISNUMBER(AR82),SUM(AT81:AU81),SUM(AT81:AV81))</f>
        <v>0</v>
      </c>
      <c r="AX81" s="184">
        <f t="shared" si="8"/>
        <v>0</v>
      </c>
      <c r="AY81" s="117">
        <f t="shared" si="11"/>
        <v>0</v>
      </c>
      <c r="AZ81" s="117"/>
    </row>
    <row r="82" spans="44:52" s="14" customFormat="1" ht="14">
      <c r="AR82" s="117" t="str">
        <f t="shared" si="9"/>
        <v/>
      </c>
      <c r="AS82" s="183">
        <f t="shared" si="12"/>
        <v>0</v>
      </c>
      <c r="AT82" s="183"/>
      <c r="AU82" s="183">
        <f t="shared" si="10"/>
        <v>0</v>
      </c>
      <c r="AV82" s="183">
        <f t="shared" si="13"/>
        <v>0</v>
      </c>
      <c r="AW82" s="117">
        <f t="shared" si="14"/>
        <v>0</v>
      </c>
      <c r="AX82" s="184">
        <f t="shared" si="8"/>
        <v>0</v>
      </c>
      <c r="AY82" s="117">
        <f t="shared" si="11"/>
        <v>0</v>
      </c>
      <c r="AZ82" s="117"/>
    </row>
    <row r="83" spans="44:52" s="14" customFormat="1" ht="14">
      <c r="AR83" s="117" t="str">
        <f t="shared" si="9"/>
        <v/>
      </c>
      <c r="AS83" s="183">
        <f t="shared" si="12"/>
        <v>0</v>
      </c>
      <c r="AT83" s="183"/>
      <c r="AU83" s="183">
        <f t="shared" si="10"/>
        <v>0</v>
      </c>
      <c r="AV83" s="183">
        <f t="shared" si="13"/>
        <v>0</v>
      </c>
      <c r="AW83" s="117">
        <f t="shared" si="14"/>
        <v>0</v>
      </c>
      <c r="AX83" s="184">
        <f t="shared" si="8"/>
        <v>0</v>
      </c>
      <c r="AY83" s="117">
        <f t="shared" si="11"/>
        <v>0</v>
      </c>
      <c r="AZ83" s="117"/>
    </row>
    <row r="84" spans="44:52" s="14" customFormat="1" ht="14">
      <c r="AR84" s="117" t="str">
        <f t="shared" si="9"/>
        <v/>
      </c>
      <c r="AS84" s="183">
        <f t="shared" si="12"/>
        <v>0</v>
      </c>
      <c r="AT84" s="183"/>
      <c r="AU84" s="183">
        <f t="shared" si="10"/>
        <v>0</v>
      </c>
      <c r="AV84" s="183">
        <f t="shared" si="13"/>
        <v>0</v>
      </c>
      <c r="AW84" s="117">
        <f t="shared" si="14"/>
        <v>0</v>
      </c>
      <c r="AX84" s="184">
        <f t="shared" si="8"/>
        <v>0</v>
      </c>
      <c r="AY84" s="117">
        <f t="shared" si="11"/>
        <v>0</v>
      </c>
      <c r="AZ84" s="117"/>
    </row>
    <row r="85" spans="44:52" s="14" customFormat="1" ht="14">
      <c r="AR85" s="117" t="str">
        <f t="shared" si="9"/>
        <v/>
      </c>
      <c r="AS85" s="183">
        <f t="shared" si="12"/>
        <v>0</v>
      </c>
      <c r="AT85" s="183"/>
      <c r="AU85" s="183">
        <f t="shared" si="10"/>
        <v>0</v>
      </c>
      <c r="AV85" s="183">
        <f t="shared" si="13"/>
        <v>0</v>
      </c>
      <c r="AW85" s="117">
        <f t="shared" si="14"/>
        <v>0</v>
      </c>
      <c r="AX85" s="184">
        <f t="shared" si="8"/>
        <v>0</v>
      </c>
      <c r="AY85" s="117">
        <f t="shared" si="11"/>
        <v>0</v>
      </c>
      <c r="AZ85" s="117"/>
    </row>
    <row r="86" spans="44:52" s="14" customFormat="1" ht="14">
      <c r="AR86" s="117" t="str">
        <f t="shared" si="9"/>
        <v/>
      </c>
      <c r="AS86" s="183">
        <f t="shared" si="12"/>
        <v>0</v>
      </c>
      <c r="AT86" s="183"/>
      <c r="AU86" s="183">
        <f t="shared" si="10"/>
        <v>0</v>
      </c>
      <c r="AV86" s="183">
        <f t="shared" si="13"/>
        <v>0</v>
      </c>
      <c r="AW86" s="117">
        <f t="shared" si="14"/>
        <v>0</v>
      </c>
      <c r="AX86" s="184">
        <f t="shared" si="8"/>
        <v>0</v>
      </c>
      <c r="AY86" s="117">
        <f t="shared" si="11"/>
        <v>0</v>
      </c>
      <c r="AZ86" s="117"/>
    </row>
    <row r="87" spans="44:52" s="14" customFormat="1" ht="14">
      <c r="AR87" s="117" t="str">
        <f t="shared" si="9"/>
        <v/>
      </c>
      <c r="AS87" s="183">
        <f t="shared" si="12"/>
        <v>0</v>
      </c>
      <c r="AT87" s="183"/>
      <c r="AU87" s="183">
        <f t="shared" si="10"/>
        <v>0</v>
      </c>
      <c r="AV87" s="183">
        <f t="shared" si="13"/>
        <v>0</v>
      </c>
      <c r="AW87" s="117">
        <f t="shared" si="14"/>
        <v>0</v>
      </c>
      <c r="AX87" s="184">
        <f t="shared" si="8"/>
        <v>0</v>
      </c>
      <c r="AY87" s="117">
        <f t="shared" si="11"/>
        <v>0</v>
      </c>
      <c r="AZ87" s="117"/>
    </row>
    <row r="88" spans="44:52" s="14" customFormat="1" ht="14">
      <c r="AR88" s="117" t="str">
        <f t="shared" si="9"/>
        <v/>
      </c>
      <c r="AS88" s="183">
        <f t="shared" si="12"/>
        <v>0</v>
      </c>
      <c r="AT88" s="183"/>
      <c r="AU88" s="183">
        <f t="shared" si="10"/>
        <v>0</v>
      </c>
      <c r="AV88" s="183">
        <f t="shared" si="13"/>
        <v>0</v>
      </c>
      <c r="AW88" s="117">
        <f t="shared" si="14"/>
        <v>0</v>
      </c>
      <c r="AX88" s="184">
        <f t="shared" si="8"/>
        <v>0</v>
      </c>
      <c r="AY88" s="117">
        <f t="shared" si="11"/>
        <v>0</v>
      </c>
      <c r="AZ88" s="117"/>
    </row>
    <row r="89" spans="44:52" s="14" customFormat="1" ht="14">
      <c r="AR89" s="117" t="str">
        <f t="shared" si="9"/>
        <v/>
      </c>
      <c r="AS89" s="183">
        <f t="shared" si="12"/>
        <v>0</v>
      </c>
      <c r="AT89" s="183"/>
      <c r="AU89" s="183">
        <f t="shared" si="10"/>
        <v>0</v>
      </c>
      <c r="AV89" s="183">
        <f t="shared" si="13"/>
        <v>0</v>
      </c>
      <c r="AW89" s="117">
        <f t="shared" si="14"/>
        <v>0</v>
      </c>
      <c r="AX89" s="184">
        <f t="shared" si="8"/>
        <v>0</v>
      </c>
      <c r="AY89" s="117">
        <f t="shared" si="11"/>
        <v>0</v>
      </c>
      <c r="AZ89" s="117"/>
    </row>
    <row r="90" spans="44:52" s="14" customFormat="1" ht="14">
      <c r="AR90" s="117" t="str">
        <f t="shared" si="9"/>
        <v/>
      </c>
      <c r="AS90" s="183">
        <f t="shared" si="12"/>
        <v>0</v>
      </c>
      <c r="AT90" s="183"/>
      <c r="AU90" s="183">
        <f t="shared" si="10"/>
        <v>0</v>
      </c>
      <c r="AV90" s="183">
        <f t="shared" si="13"/>
        <v>0</v>
      </c>
      <c r="AW90" s="117">
        <f t="shared" si="14"/>
        <v>0</v>
      </c>
      <c r="AX90" s="184">
        <f t="shared" si="8"/>
        <v>0</v>
      </c>
      <c r="AY90" s="117">
        <f t="shared" si="11"/>
        <v>0</v>
      </c>
      <c r="AZ90" s="117"/>
    </row>
    <row r="91" spans="44:52" s="14" customFormat="1" ht="14">
      <c r="AR91" s="117" t="str">
        <f t="shared" si="9"/>
        <v/>
      </c>
      <c r="AS91" s="183">
        <f t="shared" si="12"/>
        <v>0</v>
      </c>
      <c r="AT91" s="183"/>
      <c r="AU91" s="183">
        <f t="shared" si="10"/>
        <v>0</v>
      </c>
      <c r="AV91" s="183">
        <f t="shared" si="13"/>
        <v>0</v>
      </c>
      <c r="AW91" s="117">
        <f t="shared" si="14"/>
        <v>0</v>
      </c>
      <c r="AX91" s="184">
        <f t="shared" si="8"/>
        <v>0</v>
      </c>
      <c r="AY91" s="117">
        <f t="shared" si="11"/>
        <v>0</v>
      </c>
      <c r="AZ91" s="117"/>
    </row>
    <row r="92" spans="44:52" s="14" customFormat="1" ht="14">
      <c r="AR92" s="117" t="str">
        <f t="shared" si="9"/>
        <v/>
      </c>
      <c r="AS92" s="183">
        <f t="shared" si="12"/>
        <v>0</v>
      </c>
      <c r="AT92" s="183"/>
      <c r="AU92" s="183">
        <f t="shared" si="10"/>
        <v>0</v>
      </c>
      <c r="AV92" s="183">
        <f t="shared" si="13"/>
        <v>0</v>
      </c>
      <c r="AW92" s="117">
        <f t="shared" si="14"/>
        <v>0</v>
      </c>
      <c r="AX92" s="184">
        <f t="shared" si="8"/>
        <v>0</v>
      </c>
      <c r="AY92" s="117">
        <f t="shared" si="11"/>
        <v>0</v>
      </c>
      <c r="AZ92" s="117"/>
    </row>
    <row r="93" spans="44:52" s="14" customFormat="1" ht="14">
      <c r="AR93" s="117" t="str">
        <f t="shared" si="9"/>
        <v/>
      </c>
      <c r="AS93" s="183">
        <f t="shared" si="12"/>
        <v>0</v>
      </c>
      <c r="AT93" s="183"/>
      <c r="AU93" s="183">
        <f t="shared" si="10"/>
        <v>0</v>
      </c>
      <c r="AV93" s="183">
        <f t="shared" si="13"/>
        <v>0</v>
      </c>
      <c r="AW93" s="117">
        <f t="shared" si="14"/>
        <v>0</v>
      </c>
      <c r="AX93" s="184">
        <f t="shared" si="8"/>
        <v>0</v>
      </c>
      <c r="AY93" s="117">
        <f t="shared" si="11"/>
        <v>0</v>
      </c>
      <c r="AZ93" s="117"/>
    </row>
    <row r="94" spans="44:52" s="14" customFormat="1" ht="14">
      <c r="AR94" s="117" t="str">
        <f t="shared" si="9"/>
        <v/>
      </c>
      <c r="AS94" s="183">
        <f t="shared" si="12"/>
        <v>0</v>
      </c>
      <c r="AT94" s="183"/>
      <c r="AU94" s="183">
        <f t="shared" si="10"/>
        <v>0</v>
      </c>
      <c r="AV94" s="183">
        <f t="shared" si="13"/>
        <v>0</v>
      </c>
      <c r="AW94" s="117">
        <f t="shared" si="14"/>
        <v>0</v>
      </c>
      <c r="AX94" s="184">
        <f t="shared" si="8"/>
        <v>0</v>
      </c>
      <c r="AY94" s="117">
        <f t="shared" si="11"/>
        <v>0</v>
      </c>
      <c r="AZ94" s="117"/>
    </row>
    <row r="95" spans="44:52" s="14" customFormat="1" ht="14">
      <c r="AR95" s="117" t="str">
        <f t="shared" si="9"/>
        <v/>
      </c>
      <c r="AS95" s="183">
        <f t="shared" si="12"/>
        <v>0</v>
      </c>
      <c r="AT95" s="183"/>
      <c r="AU95" s="183">
        <f t="shared" si="10"/>
        <v>0</v>
      </c>
      <c r="AV95" s="183">
        <f t="shared" si="13"/>
        <v>0</v>
      </c>
      <c r="AW95" s="117">
        <f t="shared" si="14"/>
        <v>0</v>
      </c>
      <c r="AX95" s="184">
        <f t="shared" si="8"/>
        <v>0</v>
      </c>
      <c r="AY95" s="117">
        <f t="shared" si="11"/>
        <v>0</v>
      </c>
      <c r="AZ95" s="117"/>
    </row>
    <row r="96" spans="44:52" s="14" customFormat="1" ht="14">
      <c r="AR96" s="117" t="str">
        <f t="shared" si="9"/>
        <v/>
      </c>
      <c r="AS96" s="183">
        <f t="shared" si="12"/>
        <v>0</v>
      </c>
      <c r="AT96" s="183"/>
      <c r="AU96" s="183">
        <f t="shared" si="10"/>
        <v>0</v>
      </c>
      <c r="AV96" s="183">
        <f t="shared" si="13"/>
        <v>0</v>
      </c>
      <c r="AW96" s="117">
        <f t="shared" si="14"/>
        <v>0</v>
      </c>
      <c r="AX96" s="184">
        <f t="shared" si="8"/>
        <v>0</v>
      </c>
      <c r="AY96" s="117">
        <f t="shared" si="11"/>
        <v>0</v>
      </c>
      <c r="AZ96" s="117"/>
    </row>
    <row r="97" spans="44:52" s="14" customFormat="1" ht="14">
      <c r="AR97" s="117" t="str">
        <f t="shared" si="9"/>
        <v/>
      </c>
      <c r="AS97" s="183">
        <f t="shared" si="12"/>
        <v>0</v>
      </c>
      <c r="AT97" s="183"/>
      <c r="AU97" s="183">
        <f t="shared" si="10"/>
        <v>0</v>
      </c>
      <c r="AV97" s="183">
        <f t="shared" si="13"/>
        <v>0</v>
      </c>
      <c r="AW97" s="117">
        <f t="shared" si="14"/>
        <v>0</v>
      </c>
      <c r="AX97" s="184">
        <f t="shared" si="8"/>
        <v>0</v>
      </c>
      <c r="AY97" s="117">
        <f t="shared" si="11"/>
        <v>0</v>
      </c>
      <c r="AZ97" s="117"/>
    </row>
    <row r="98" spans="44:52" s="14" customFormat="1" ht="14">
      <c r="AR98" s="117" t="str">
        <f t="shared" si="9"/>
        <v/>
      </c>
      <c r="AS98" s="183">
        <f t="shared" si="12"/>
        <v>0</v>
      </c>
      <c r="AT98" s="183"/>
      <c r="AU98" s="183">
        <f t="shared" si="10"/>
        <v>0</v>
      </c>
      <c r="AV98" s="183">
        <f t="shared" si="13"/>
        <v>0</v>
      </c>
      <c r="AW98" s="117">
        <f t="shared" si="14"/>
        <v>0</v>
      </c>
      <c r="AX98" s="184">
        <f t="shared" si="8"/>
        <v>0</v>
      </c>
      <c r="AY98" s="117">
        <f t="shared" si="11"/>
        <v>0</v>
      </c>
      <c r="AZ98" s="117"/>
    </row>
    <row r="99" spans="44:52" s="14" customFormat="1" ht="14">
      <c r="AR99" s="117" t="str">
        <f t="shared" si="9"/>
        <v/>
      </c>
      <c r="AS99" s="183">
        <f t="shared" si="12"/>
        <v>0</v>
      </c>
      <c r="AT99" s="183"/>
      <c r="AU99" s="183">
        <f t="shared" si="10"/>
        <v>0</v>
      </c>
      <c r="AV99" s="183">
        <f t="shared" si="13"/>
        <v>0</v>
      </c>
      <c r="AW99" s="117">
        <f t="shared" si="14"/>
        <v>0</v>
      </c>
      <c r="AX99" s="184">
        <f t="shared" si="8"/>
        <v>0</v>
      </c>
      <c r="AY99" s="117">
        <f t="shared" si="11"/>
        <v>0</v>
      </c>
      <c r="AZ99" s="117"/>
    </row>
    <row r="100" spans="44:52" s="14" customFormat="1" ht="14">
      <c r="AR100" s="117" t="str">
        <f t="shared" si="9"/>
        <v/>
      </c>
      <c r="AS100" s="183">
        <f t="shared" si="12"/>
        <v>0</v>
      </c>
      <c r="AT100" s="183"/>
      <c r="AU100" s="183">
        <f t="shared" si="10"/>
        <v>0</v>
      </c>
      <c r="AV100" s="183">
        <f t="shared" si="13"/>
        <v>0</v>
      </c>
      <c r="AW100" s="117">
        <f t="shared" si="14"/>
        <v>0</v>
      </c>
      <c r="AX100" s="184">
        <f t="shared" si="8"/>
        <v>0</v>
      </c>
      <c r="AY100" s="117">
        <f t="shared" si="11"/>
        <v>0</v>
      </c>
      <c r="AZ100" s="117"/>
    </row>
    <row r="101" spans="44:52" s="14" customFormat="1" ht="14">
      <c r="AR101" s="117" t="str">
        <f t="shared" si="9"/>
        <v/>
      </c>
      <c r="AS101" s="183">
        <f t="shared" si="12"/>
        <v>0</v>
      </c>
      <c r="AT101" s="183"/>
      <c r="AU101" s="183">
        <f t="shared" si="10"/>
        <v>0</v>
      </c>
      <c r="AV101" s="183">
        <f t="shared" si="13"/>
        <v>0</v>
      </c>
      <c r="AW101" s="117">
        <f t="shared" si="14"/>
        <v>0</v>
      </c>
      <c r="AX101" s="184">
        <f t="shared" si="8"/>
        <v>0</v>
      </c>
      <c r="AY101" s="117">
        <f t="shared" si="11"/>
        <v>0</v>
      </c>
      <c r="AZ101" s="117"/>
    </row>
    <row r="102" spans="44:52" s="14" customFormat="1" ht="14">
      <c r="AR102" s="117" t="str">
        <f t="shared" si="9"/>
        <v/>
      </c>
      <c r="AS102" s="183">
        <f t="shared" si="12"/>
        <v>0</v>
      </c>
      <c r="AT102" s="183"/>
      <c r="AU102" s="183">
        <f t="shared" si="10"/>
        <v>0</v>
      </c>
      <c r="AV102" s="183">
        <f t="shared" si="13"/>
        <v>0</v>
      </c>
      <c r="AW102" s="117">
        <f t="shared" si="14"/>
        <v>0</v>
      </c>
      <c r="AX102" s="184">
        <f t="shared" ref="AX102:AX113" si="15">LN(AW102+$J$36)-LN($J$36)</f>
        <v>0</v>
      </c>
      <c r="AY102" s="117">
        <f t="shared" si="11"/>
        <v>0</v>
      </c>
      <c r="AZ102" s="117"/>
    </row>
    <row r="103" spans="44:52" s="14" customFormat="1" ht="14">
      <c r="AR103" s="117" t="str">
        <f t="shared" si="9"/>
        <v/>
      </c>
      <c r="AS103" s="183">
        <f t="shared" si="12"/>
        <v>0</v>
      </c>
      <c r="AT103" s="183"/>
      <c r="AU103" s="183">
        <f t="shared" si="10"/>
        <v>0</v>
      </c>
      <c r="AV103" s="183">
        <f t="shared" si="13"/>
        <v>0</v>
      </c>
      <c r="AW103" s="117">
        <f t="shared" si="14"/>
        <v>0</v>
      </c>
      <c r="AX103" s="184">
        <f t="shared" si="15"/>
        <v>0</v>
      </c>
      <c r="AY103" s="117">
        <f t="shared" si="11"/>
        <v>0</v>
      </c>
      <c r="AZ103" s="117"/>
    </row>
    <row r="104" spans="44:52" s="14" customFormat="1" ht="14">
      <c r="AR104" s="117" t="str">
        <f t="shared" si="9"/>
        <v/>
      </c>
      <c r="AS104" s="183">
        <f t="shared" si="12"/>
        <v>0</v>
      </c>
      <c r="AT104" s="183"/>
      <c r="AU104" s="183">
        <f t="shared" si="10"/>
        <v>0</v>
      </c>
      <c r="AV104" s="183">
        <f t="shared" si="13"/>
        <v>0</v>
      </c>
      <c r="AW104" s="117">
        <f t="shared" si="14"/>
        <v>0</v>
      </c>
      <c r="AX104" s="184">
        <f t="shared" si="15"/>
        <v>0</v>
      </c>
      <c r="AY104" s="117">
        <f t="shared" si="11"/>
        <v>0</v>
      </c>
      <c r="AZ104" s="117"/>
    </row>
    <row r="105" spans="44:52" s="14" customFormat="1" ht="14">
      <c r="AR105" s="117" t="str">
        <f t="shared" si="9"/>
        <v/>
      </c>
      <c r="AS105" s="183">
        <f t="shared" si="12"/>
        <v>0</v>
      </c>
      <c r="AT105" s="183"/>
      <c r="AU105" s="183">
        <f t="shared" si="10"/>
        <v>0</v>
      </c>
      <c r="AV105" s="183">
        <f t="shared" si="13"/>
        <v>0</v>
      </c>
      <c r="AW105" s="117">
        <f t="shared" si="14"/>
        <v>0</v>
      </c>
      <c r="AX105" s="184">
        <f t="shared" si="15"/>
        <v>0</v>
      </c>
      <c r="AY105" s="117">
        <f t="shared" si="11"/>
        <v>0</v>
      </c>
      <c r="AZ105" s="117"/>
    </row>
    <row r="106" spans="44:52" s="14" customFormat="1" ht="14">
      <c r="AR106" s="117" t="str">
        <f t="shared" si="9"/>
        <v/>
      </c>
      <c r="AS106" s="183">
        <f t="shared" si="12"/>
        <v>0</v>
      </c>
      <c r="AT106" s="183"/>
      <c r="AU106" s="183">
        <f t="shared" si="10"/>
        <v>0</v>
      </c>
      <c r="AV106" s="183">
        <f t="shared" si="13"/>
        <v>0</v>
      </c>
      <c r="AW106" s="117">
        <f t="shared" si="14"/>
        <v>0</v>
      </c>
      <c r="AX106" s="184">
        <f t="shared" si="15"/>
        <v>0</v>
      </c>
      <c r="AY106" s="117">
        <f t="shared" si="11"/>
        <v>0</v>
      </c>
      <c r="AZ106" s="117"/>
    </row>
    <row r="107" spans="44:52" s="14" customFormat="1" ht="14">
      <c r="AR107" s="117" t="str">
        <f t="shared" si="9"/>
        <v/>
      </c>
      <c r="AS107" s="183">
        <f t="shared" si="12"/>
        <v>0</v>
      </c>
      <c r="AT107" s="183"/>
      <c r="AU107" s="183">
        <f t="shared" si="10"/>
        <v>0</v>
      </c>
      <c r="AV107" s="183">
        <f t="shared" si="13"/>
        <v>0</v>
      </c>
      <c r="AW107" s="117">
        <f t="shared" si="14"/>
        <v>0</v>
      </c>
      <c r="AX107" s="184">
        <f t="shared" si="15"/>
        <v>0</v>
      </c>
      <c r="AY107" s="117">
        <f t="shared" si="11"/>
        <v>0</v>
      </c>
      <c r="AZ107" s="117"/>
    </row>
    <row r="108" spans="44:52" s="14" customFormat="1" ht="14">
      <c r="AR108" s="117" t="str">
        <f t="shared" si="9"/>
        <v/>
      </c>
      <c r="AS108" s="183">
        <f t="shared" si="12"/>
        <v>0</v>
      </c>
      <c r="AT108" s="183"/>
      <c r="AU108" s="183">
        <f t="shared" si="10"/>
        <v>0</v>
      </c>
      <c r="AV108" s="183">
        <f t="shared" si="13"/>
        <v>0</v>
      </c>
      <c r="AW108" s="117">
        <f t="shared" si="14"/>
        <v>0</v>
      </c>
      <c r="AX108" s="184">
        <f t="shared" si="15"/>
        <v>0</v>
      </c>
      <c r="AY108" s="117">
        <f t="shared" si="11"/>
        <v>0</v>
      </c>
      <c r="AZ108" s="117"/>
    </row>
    <row r="109" spans="44:52" s="14" customFormat="1" ht="14">
      <c r="AR109" s="117" t="str">
        <f t="shared" si="9"/>
        <v/>
      </c>
      <c r="AS109" s="183">
        <f t="shared" si="12"/>
        <v>0</v>
      </c>
      <c r="AT109" s="183"/>
      <c r="AU109" s="183">
        <f t="shared" si="10"/>
        <v>0</v>
      </c>
      <c r="AV109" s="183">
        <f t="shared" si="13"/>
        <v>0</v>
      </c>
      <c r="AW109" s="117">
        <f t="shared" si="14"/>
        <v>0</v>
      </c>
      <c r="AX109" s="184">
        <f t="shared" si="15"/>
        <v>0</v>
      </c>
      <c r="AY109" s="117">
        <f t="shared" si="11"/>
        <v>0</v>
      </c>
      <c r="AZ109" s="117"/>
    </row>
    <row r="110" spans="44:52" s="14" customFormat="1" ht="14">
      <c r="AR110" s="117" t="str">
        <f t="shared" si="9"/>
        <v/>
      </c>
      <c r="AS110" s="183">
        <f t="shared" si="12"/>
        <v>0</v>
      </c>
      <c r="AT110" s="183"/>
      <c r="AU110" s="183">
        <f t="shared" si="10"/>
        <v>0</v>
      </c>
      <c r="AV110" s="183">
        <f t="shared" si="13"/>
        <v>0</v>
      </c>
      <c r="AW110" s="117">
        <f t="shared" si="14"/>
        <v>0</v>
      </c>
      <c r="AX110" s="184">
        <f t="shared" si="15"/>
        <v>0</v>
      </c>
      <c r="AY110" s="117">
        <f t="shared" si="11"/>
        <v>0</v>
      </c>
      <c r="AZ110" s="117"/>
    </row>
    <row r="111" spans="44:52" s="14" customFormat="1" ht="14">
      <c r="AR111" s="117" t="str">
        <f t="shared" si="9"/>
        <v/>
      </c>
      <c r="AS111" s="183">
        <f t="shared" si="12"/>
        <v>0</v>
      </c>
      <c r="AT111" s="183"/>
      <c r="AU111" s="183">
        <f t="shared" si="10"/>
        <v>0</v>
      </c>
      <c r="AV111" s="183">
        <f t="shared" si="13"/>
        <v>0</v>
      </c>
      <c r="AW111" s="117">
        <f t="shared" si="14"/>
        <v>0</v>
      </c>
      <c r="AX111" s="184">
        <f t="shared" si="15"/>
        <v>0</v>
      </c>
      <c r="AY111" s="117">
        <f t="shared" si="11"/>
        <v>0</v>
      </c>
      <c r="AZ111" s="117"/>
    </row>
    <row r="112" spans="44:52" s="14" customFormat="1" ht="14">
      <c r="AR112" s="117" t="str">
        <f t="shared" si="9"/>
        <v/>
      </c>
      <c r="AS112" s="183">
        <f t="shared" si="12"/>
        <v>0</v>
      </c>
      <c r="AT112" s="183"/>
      <c r="AU112" s="183">
        <f t="shared" si="10"/>
        <v>0</v>
      </c>
      <c r="AV112" s="183">
        <f t="shared" si="13"/>
        <v>0</v>
      </c>
      <c r="AW112" s="117">
        <f t="shared" si="14"/>
        <v>0</v>
      </c>
      <c r="AX112" s="184">
        <f t="shared" si="15"/>
        <v>0</v>
      </c>
      <c r="AY112" s="117">
        <f t="shared" si="11"/>
        <v>0</v>
      </c>
      <c r="AZ112" s="117"/>
    </row>
    <row r="113" spans="44:52" s="14" customFormat="1" ht="14">
      <c r="AR113" s="117" t="str">
        <f t="shared" si="9"/>
        <v/>
      </c>
      <c r="AS113" s="183">
        <f t="shared" si="12"/>
        <v>0</v>
      </c>
      <c r="AT113" s="183"/>
      <c r="AU113" s="183">
        <f t="shared" si="10"/>
        <v>0</v>
      </c>
      <c r="AV113" s="183">
        <f t="shared" si="13"/>
        <v>0</v>
      </c>
      <c r="AW113" s="117">
        <f t="shared" si="14"/>
        <v>0</v>
      </c>
      <c r="AX113" s="184">
        <f t="shared" si="15"/>
        <v>0</v>
      </c>
      <c r="AY113" s="117">
        <f t="shared" si="11"/>
        <v>0</v>
      </c>
      <c r="AZ113" s="117"/>
    </row>
    <row r="114" spans="44:52" s="14" customFormat="1" ht="14">
      <c r="AZ114" s="117"/>
    </row>
    <row r="115" spans="44:52" s="14" customFormat="1" ht="14">
      <c r="AZ115" s="117"/>
    </row>
    <row r="116" spans="44:52" s="14" customFormat="1" ht="14">
      <c r="AZ116" s="117"/>
    </row>
    <row r="117" spans="44:52" s="14" customFormat="1" ht="14">
      <c r="AZ117" s="117"/>
    </row>
    <row r="118" spans="44:52" ht="14">
      <c r="AZ118"/>
    </row>
  </sheetData>
  <mergeCells count="59">
    <mergeCell ref="G37:Q37"/>
    <mergeCell ref="R37:T37"/>
    <mergeCell ref="B35:B37"/>
    <mergeCell ref="D35:F35"/>
    <mergeCell ref="H35:I35"/>
    <mergeCell ref="J35:N35"/>
    <mergeCell ref="O35:P35"/>
    <mergeCell ref="D36:F36"/>
    <mergeCell ref="H36:I36"/>
    <mergeCell ref="J36:N36"/>
    <mergeCell ref="O36:P36"/>
    <mergeCell ref="D37:F37"/>
    <mergeCell ref="B23:E26"/>
    <mergeCell ref="Q25:Q28"/>
    <mergeCell ref="R29:V29"/>
    <mergeCell ref="R30:V30"/>
    <mergeCell ref="F31:F33"/>
    <mergeCell ref="R31:V31"/>
    <mergeCell ref="F21:F24"/>
    <mergeCell ref="R21:S22"/>
    <mergeCell ref="U21:W22"/>
    <mergeCell ref="Q18:Q19"/>
    <mergeCell ref="T18:U18"/>
    <mergeCell ref="V18:W18"/>
    <mergeCell ref="T19:U19"/>
    <mergeCell ref="V19:W19"/>
    <mergeCell ref="C16:C17"/>
    <mergeCell ref="D16:D17"/>
    <mergeCell ref="F16:F17"/>
    <mergeCell ref="G16:G17"/>
    <mergeCell ref="S16:T16"/>
    <mergeCell ref="T10:U10"/>
    <mergeCell ref="T11:U11"/>
    <mergeCell ref="Q13:Q16"/>
    <mergeCell ref="T13:U13"/>
    <mergeCell ref="B14:B18"/>
    <mergeCell ref="C14:C15"/>
    <mergeCell ref="D14:D15"/>
    <mergeCell ref="F14:F15"/>
    <mergeCell ref="G14:G15"/>
    <mergeCell ref="T14:U14"/>
    <mergeCell ref="B7:B11"/>
    <mergeCell ref="Q8:Q11"/>
    <mergeCell ref="T8:U8"/>
    <mergeCell ref="C9:D9"/>
    <mergeCell ref="T9:U9"/>
    <mergeCell ref="T15:U15"/>
    <mergeCell ref="C6:D6"/>
    <mergeCell ref="I6:J6"/>
    <mergeCell ref="L6:M6"/>
    <mergeCell ref="T6:U6"/>
    <mergeCell ref="V6:W6"/>
    <mergeCell ref="S2:T3"/>
    <mergeCell ref="B4:D5"/>
    <mergeCell ref="F4:G5"/>
    <mergeCell ref="T4:U4"/>
    <mergeCell ref="V4:W4"/>
    <mergeCell ref="T5:U5"/>
    <mergeCell ref="V5:W5"/>
  </mergeCells>
  <hyperlinks>
    <hyperlink ref="G37" r:id="rId1" location="Grantstructure"/>
  </hyperlinks>
  <pageMargins left="0.7" right="0.7" top="0.75" bottom="0.75" header="0.3" footer="0.3"/>
  <pageSetup orientation="portrait"/>
  <drawing r:id="rId2"/>
  <legacyDrawing r:id="rId3"/>
  <extLst>
    <ext xmlns:x14="http://schemas.microsoft.com/office/spreadsheetml/2009/9/main" uri="{CCE6A557-97BC-4b89-ADB6-D9C93CAAB3DF}">
      <x14:dataValidations xmlns:xm="http://schemas.microsoft.com/office/excel/2006/main" count="34">
        <x14:dataValidation type="list" allowBlank="1" showInputMessage="1">
          <x14:formula1>
            <xm:f>Parameters!$C$7:$G$7</xm:f>
          </x14:formula1>
          <xm:sqref>D16:D17</xm:sqref>
        </x14:dataValidation>
        <x14:dataValidation type="list" allowBlank="1" showInputMessage="1">
          <x14:formula1>
            <xm:f>Parameters!$C$25:$G$25</xm:f>
          </x14:formula1>
          <xm:sqref>J14 K15</xm:sqref>
        </x14:dataValidation>
        <x14:dataValidation type="list" allowBlank="1" showInputMessage="1">
          <x14:formula1>
            <xm:f>Parameters!$C$18:$G$18</xm:f>
          </x14:formula1>
          <xm:sqref>J15 K14</xm:sqref>
        </x14:dataValidation>
        <x14:dataValidation type="list" allowBlank="1" showInputMessage="1">
          <x14:formula1>
            <xm:f>Parameters!$C$27:$G$27</xm:f>
          </x14:formula1>
          <xm:sqref>J11 K9</xm:sqref>
        </x14:dataValidation>
        <x14:dataValidation type="list" allowBlank="1" showInputMessage="1">
          <x14:formula1>
            <xm:f>Parameters!$C$28:$G$28</xm:f>
          </x14:formula1>
          <xm:sqref>J9</xm:sqref>
        </x14:dataValidation>
        <x14:dataValidation type="list" allowBlank="1" showInputMessage="1">
          <x14:formula1>
            <xm:f>Parameters!$C$55:$G$55</xm:f>
          </x14:formula1>
          <xm:sqref>M15</xm:sqref>
        </x14:dataValidation>
        <x14:dataValidation type="list" allowBlank="1" showInputMessage="1">
          <x14:formula1>
            <xm:f>Parameters!$C$54:$G$54</xm:f>
          </x14:formula1>
          <xm:sqref>M14</xm:sqref>
        </x14:dataValidation>
        <x14:dataValidation type="list" allowBlank="1" showInputMessage="1">
          <x14:formula1>
            <xm:f>Parameters!$C$53:$G$53</xm:f>
          </x14:formula1>
          <xm:sqref>M13</xm:sqref>
        </x14:dataValidation>
        <x14:dataValidation type="list" allowBlank="1" showInputMessage="1">
          <x14:formula1>
            <xm:f>Parameters!$C$52:$G$52</xm:f>
          </x14:formula1>
          <xm:sqref>M12</xm:sqref>
        </x14:dataValidation>
        <x14:dataValidation type="list" allowBlank="1" showInputMessage="1">
          <x14:formula1>
            <xm:f>Parameters!$C$51:$G$51</xm:f>
          </x14:formula1>
          <xm:sqref>M11</xm:sqref>
        </x14:dataValidation>
        <x14:dataValidation type="list" allowBlank="1" showInputMessage="1">
          <x14:formula1>
            <xm:f>Parameters!$C$50:$G$50</xm:f>
          </x14:formula1>
          <xm:sqref>M10</xm:sqref>
        </x14:dataValidation>
        <x14:dataValidation type="list" allowBlank="1" showInputMessage="1">
          <x14:formula1>
            <xm:f>Parameters!$C$49:$G$49</xm:f>
          </x14:formula1>
          <xm:sqref>M9</xm:sqref>
        </x14:dataValidation>
        <x14:dataValidation type="list" allowBlank="1" showInputMessage="1">
          <x14:formula1>
            <xm:f>Parameters!$C$48:$G$48</xm:f>
          </x14:formula1>
          <xm:sqref>M8</xm:sqref>
        </x14:dataValidation>
        <x14:dataValidation type="list" allowBlank="1" showInputMessage="1">
          <x14:formula1>
            <xm:f>Parameters!$C$47:$G$47</xm:f>
          </x14:formula1>
          <xm:sqref>M7</xm:sqref>
        </x14:dataValidation>
        <x14:dataValidation type="list" allowBlank="1" showInputMessage="1">
          <x14:formula1>
            <xm:f>Parameters!$C$19:$G$19</xm:f>
          </x14:formula1>
          <xm:sqref>J8</xm:sqref>
        </x14:dataValidation>
        <x14:dataValidation type="list" allowBlank="1" showInputMessage="1">
          <x14:formula1>
            <xm:f>Parameters!$D$19:$H$19</xm:f>
          </x14:formula1>
          <xm:sqref>K10</xm:sqref>
        </x14:dataValidation>
        <x14:dataValidation type="list" allowBlank="1" showInputMessage="1">
          <x14:formula1>
            <xm:f>Parameters!$C$26:$G$26</xm:f>
          </x14:formula1>
          <xm:sqref>J7</xm:sqref>
        </x14:dataValidation>
        <x14:dataValidation type="list" allowBlank="1" showInputMessage="1">
          <x14:formula1>
            <xm:f>Parameters!$D$26:$F$26</xm:f>
          </x14:formula1>
          <xm:sqref>K7</xm:sqref>
        </x14:dataValidation>
        <x14:dataValidation type="list" allowBlank="1" showInputMessage="1">
          <x14:formula1>
            <xm:f>Parameters!$C$21:$G$21</xm:f>
          </x14:formula1>
          <xm:sqref>J10</xm:sqref>
        </x14:dataValidation>
        <x14:dataValidation type="list" allowBlank="1" showInputMessage="1">
          <x14:formula1>
            <xm:f>Parameters!$C$24:$G$24</xm:f>
          </x14:formula1>
          <xm:sqref>J16:K16</xm:sqref>
        </x14:dataValidation>
        <x14:dataValidation type="list" allowBlank="1" showInputMessage="1">
          <x14:formula1>
            <xm:f>Parameters!$C$20:$G$20</xm:f>
          </x14:formula1>
          <xm:sqref>J18:K18</xm:sqref>
        </x14:dataValidation>
        <x14:dataValidation type="list" allowBlank="1" showInputMessage="1">
          <x14:formula1>
            <xm:f>Parameters!$C$17:$G$17</xm:f>
          </x14:formula1>
          <xm:sqref>J17:K17</xm:sqref>
        </x14:dataValidation>
        <x14:dataValidation type="list" allowBlank="1" showInputMessage="1">
          <x14:formula1>
            <xm:f>Parameters!$C$10:$G$10</xm:f>
          </x14:formula1>
          <xm:sqref>D7</xm:sqref>
        </x14:dataValidation>
        <x14:dataValidation type="list" allowBlank="1" showInputMessage="1">
          <x14:formula1>
            <xm:f>Parameters!$C$4:$G$4</xm:f>
          </x14:formula1>
          <xm:sqref>D10</xm:sqref>
        </x14:dataValidation>
        <x14:dataValidation type="list" allowBlank="1" showInputMessage="1">
          <x14:formula1>
            <xm:f>Parameters!$C$5:$G$5</xm:f>
          </x14:formula1>
          <xm:sqref>D11</xm:sqref>
        </x14:dataValidation>
        <x14:dataValidation type="list" allowBlank="1" showInputMessage="1">
          <x14:formula1>
            <xm:f>Parameters!$C$6:$G$6</xm:f>
          </x14:formula1>
          <xm:sqref>D14</xm:sqref>
        </x14:dataValidation>
        <x14:dataValidation type="list" allowBlank="1" showInputMessage="1">
          <x14:formula1>
            <xm:f>Parameters!$C$11:$G$11</xm:f>
          </x14:formula1>
          <xm:sqref>G7</xm:sqref>
        </x14:dataValidation>
        <x14:dataValidation type="list" allowBlank="1" showInputMessage="1">
          <x14:formula1>
            <xm:f>Parameters!$C$12:$G$12</xm:f>
          </x14:formula1>
          <xm:sqref>G9</xm:sqref>
        </x14:dataValidation>
        <x14:dataValidation type="list" allowBlank="1" showInputMessage="1">
          <x14:formula1>
            <xm:f>Parameters!$C$38:$G$38</xm:f>
          </x14:formula1>
          <xm:sqref>G11</xm:sqref>
        </x14:dataValidation>
        <x14:dataValidation type="list" allowBlank="1" showInputMessage="1">
          <x14:formula1>
            <xm:f>Parameters!$C$37:$G$37</xm:f>
          </x14:formula1>
          <xm:sqref>G14</xm:sqref>
        </x14:dataValidation>
        <x14:dataValidation type="list" allowBlank="1" showInputMessage="1">
          <x14:formula1>
            <xm:f>Parameters!$C$34:$G$34</xm:f>
          </x14:formula1>
          <xm:sqref>G16</xm:sqref>
        </x14:dataValidation>
        <x14:dataValidation type="list" allowBlank="1" showInputMessage="1">
          <x14:formula1>
            <xm:f>Parameters!$C$36:$G$36</xm:f>
          </x14:formula1>
          <xm:sqref>G18</xm:sqref>
        </x14:dataValidation>
        <x14:dataValidation type="list" allowBlank="1" showInputMessage="1">
          <x14:formula1>
            <xm:f>Parameters!$C$13:$G$13</xm:f>
          </x14:formula1>
          <xm:sqref>G8</xm:sqref>
        </x14:dataValidation>
        <x14:dataValidation type="list" allowBlank="1" showInputMessage="1">
          <x14:formula1>
            <xm:f>Parameters!$C$14:$G$14</xm:f>
          </x14:formula1>
          <xm:sqref>G10</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8"/>
  <sheetViews>
    <sheetView zoomScale="115" zoomScaleNormal="115" zoomScalePageLayoutView="115" workbookViewId="0">
      <selection activeCell="J1" sqref="J1"/>
    </sheetView>
  </sheetViews>
  <sheetFormatPr baseColWidth="10" defaultColWidth="8.83203125" defaultRowHeight="11" x14ac:dyDescent="0"/>
  <cols>
    <col min="1" max="1" width="1.5" style="1" customWidth="1"/>
    <col min="2" max="2" width="9.33203125" style="1" customWidth="1"/>
    <col min="3" max="3" width="14.5" style="1" customWidth="1"/>
    <col min="4" max="4" width="5.83203125" style="1" customWidth="1"/>
    <col min="5" max="5" width="1.83203125" style="1" customWidth="1"/>
    <col min="6" max="6" width="18" style="1" customWidth="1"/>
    <col min="7" max="7" width="13.5" style="1" customWidth="1"/>
    <col min="8" max="8" width="1.33203125" style="1" customWidth="1"/>
    <col min="9" max="9" width="16.33203125" style="1" customWidth="1"/>
    <col min="10" max="10" width="8.5" style="1" customWidth="1"/>
    <col min="11" max="11" width="1.6640625" style="1" customWidth="1"/>
    <col min="12" max="12" width="22.83203125" style="1" customWidth="1"/>
    <col min="13" max="13" width="8.5" style="1" customWidth="1"/>
    <col min="14" max="14" width="0.83203125" style="1" customWidth="1"/>
    <col min="15" max="15" width="2.83203125" style="1" customWidth="1"/>
    <col min="16" max="16" width="2.6640625" style="1" customWidth="1"/>
    <col min="17" max="17" width="15.5" style="1" customWidth="1"/>
    <col min="18" max="18" width="30.83203125" style="1" customWidth="1"/>
    <col min="19" max="19" width="23.5" style="1" customWidth="1"/>
    <col min="20" max="20" width="1" style="1" customWidth="1"/>
    <col min="21" max="21" width="24.33203125" style="1" customWidth="1"/>
    <col min="22" max="22" width="10.6640625" style="1" customWidth="1"/>
    <col min="23" max="23" width="12.5" style="1" customWidth="1"/>
    <col min="24" max="24" width="13.6640625" style="1" customWidth="1"/>
    <col min="25" max="25" width="12.83203125" style="1" customWidth="1"/>
    <col min="26" max="16384" width="8.83203125" style="1"/>
  </cols>
  <sheetData>
    <row r="1" spans="1:53" ht="6" customHeight="1" thickBot="1">
      <c r="A1" s="54"/>
      <c r="B1" s="14"/>
      <c r="C1" s="14"/>
      <c r="D1" s="14"/>
      <c r="E1" s="14"/>
      <c r="F1" s="14"/>
      <c r="G1" s="14"/>
      <c r="H1" s="14"/>
      <c r="I1" s="14"/>
      <c r="J1" s="14"/>
      <c r="K1" s="14"/>
      <c r="L1" s="14"/>
      <c r="M1" s="14"/>
      <c r="N1" s="14"/>
      <c r="O1" s="14"/>
      <c r="P1" s="14"/>
      <c r="Q1" s="14"/>
      <c r="R1" s="25"/>
      <c r="S1" s="14"/>
      <c r="T1" s="14"/>
      <c r="U1" s="14"/>
      <c r="V1" s="14"/>
      <c r="W1" s="14"/>
      <c r="X1" s="14"/>
      <c r="Y1" s="14"/>
      <c r="Z1" s="14"/>
      <c r="AA1" s="14"/>
      <c r="AB1" s="14"/>
      <c r="AC1" s="14"/>
      <c r="AD1" s="14"/>
      <c r="AE1" s="14"/>
      <c r="AF1" s="14"/>
      <c r="AG1" s="14"/>
      <c r="AH1" s="14"/>
      <c r="AI1" s="14"/>
      <c r="AJ1" s="14"/>
      <c r="AK1" s="14"/>
      <c r="AL1" s="14"/>
      <c r="AM1" s="14"/>
      <c r="AN1" s="14"/>
      <c r="AO1" s="14"/>
      <c r="AP1" s="14"/>
    </row>
    <row r="2" spans="1:53" ht="10.25" customHeight="1">
      <c r="A2" s="14"/>
      <c r="B2" s="14"/>
      <c r="C2" s="222"/>
      <c r="D2" s="17"/>
      <c r="E2" s="17"/>
      <c r="F2" s="17"/>
      <c r="G2" s="17"/>
      <c r="H2" s="17"/>
      <c r="I2" s="17"/>
      <c r="J2" s="54"/>
      <c r="K2" s="54"/>
      <c r="L2" s="54"/>
      <c r="M2" s="54"/>
      <c r="N2" s="14"/>
      <c r="O2" s="14"/>
      <c r="P2" s="14"/>
      <c r="Q2" s="14"/>
      <c r="S2" s="302" t="s">
        <v>233</v>
      </c>
      <c r="T2" s="303"/>
      <c r="U2" s="195"/>
      <c r="V2" s="195"/>
      <c r="W2" s="195"/>
      <c r="X2" s="14"/>
      <c r="Y2" s="14"/>
      <c r="Z2" s="14"/>
      <c r="AA2" s="14"/>
      <c r="AB2" s="14"/>
      <c r="AC2" s="14"/>
      <c r="AD2" s="14"/>
      <c r="AE2" s="14"/>
      <c r="AF2" s="14"/>
      <c r="AG2" s="14"/>
      <c r="AH2" s="14"/>
      <c r="AI2" s="14"/>
      <c r="AJ2" s="14"/>
      <c r="AK2" s="14"/>
      <c r="AL2" s="14"/>
      <c r="AM2" s="14"/>
      <c r="AN2" s="14"/>
      <c r="AO2" s="14"/>
      <c r="AP2" s="14"/>
      <c r="AR2" t="s">
        <v>133</v>
      </c>
      <c r="AS2" t="s">
        <v>134</v>
      </c>
      <c r="AT2" t="s">
        <v>135</v>
      </c>
      <c r="AU2" t="s">
        <v>136</v>
      </c>
      <c r="AV2" t="s">
        <v>137</v>
      </c>
      <c r="AW2" t="s">
        <v>138</v>
      </c>
      <c r="AX2" t="s">
        <v>139</v>
      </c>
      <c r="AY2" t="s">
        <v>168</v>
      </c>
      <c r="AZ2" t="s">
        <v>141</v>
      </c>
    </row>
    <row r="3" spans="1:53" ht="10.25" customHeight="1" thickBot="1">
      <c r="A3" s="14"/>
      <c r="B3" s="222"/>
      <c r="C3" s="222"/>
      <c r="D3" s="17"/>
      <c r="E3" s="17"/>
      <c r="F3" s="17"/>
      <c r="G3" s="17"/>
      <c r="H3" s="17"/>
      <c r="I3" s="17"/>
      <c r="J3" s="54"/>
      <c r="K3" s="54"/>
      <c r="L3" s="54"/>
      <c r="M3" s="54"/>
      <c r="N3" s="14"/>
      <c r="O3" s="14"/>
      <c r="P3" s="14"/>
      <c r="Q3" s="14"/>
      <c r="R3" s="195"/>
      <c r="S3" s="304"/>
      <c r="T3" s="305"/>
      <c r="U3" s="195"/>
      <c r="V3" s="195"/>
      <c r="W3" s="195"/>
      <c r="X3" s="14"/>
      <c r="Y3" s="14"/>
      <c r="Z3" s="14"/>
      <c r="AA3" s="14"/>
      <c r="AB3" s="14"/>
      <c r="AC3" s="14"/>
      <c r="AD3" s="14"/>
      <c r="AE3" s="14"/>
      <c r="AF3" s="14"/>
      <c r="AG3" s="14"/>
      <c r="AH3" s="14"/>
      <c r="AI3" s="14"/>
      <c r="AJ3" s="14"/>
      <c r="AK3" s="14"/>
      <c r="AL3" s="14"/>
      <c r="AM3" s="14"/>
      <c r="AN3" s="14"/>
      <c r="AO3" s="14"/>
      <c r="AP3" s="14"/>
      <c r="AR3"/>
      <c r="AS3"/>
      <c r="AT3"/>
      <c r="AU3"/>
      <c r="AV3"/>
      <c r="AW3"/>
      <c r="AX3"/>
      <c r="AY3"/>
      <c r="AZ3"/>
    </row>
    <row r="4" spans="1:53" ht="40.75" customHeight="1">
      <c r="A4" s="14"/>
      <c r="B4" s="317" t="s">
        <v>295</v>
      </c>
      <c r="C4" s="317"/>
      <c r="D4" s="317"/>
      <c r="E4" s="224"/>
      <c r="F4" s="313" t="s">
        <v>232</v>
      </c>
      <c r="G4" s="314"/>
      <c r="H4" s="17"/>
      <c r="I4" s="14"/>
      <c r="J4" s="14"/>
      <c r="K4" s="14"/>
      <c r="L4" s="14"/>
      <c r="M4" s="14"/>
      <c r="N4" s="77"/>
      <c r="O4" s="77"/>
      <c r="P4" s="77"/>
      <c r="Q4" s="189"/>
      <c r="R4" s="244" t="s">
        <v>213</v>
      </c>
      <c r="S4" s="244" t="s">
        <v>30</v>
      </c>
      <c r="T4" s="298" t="s">
        <v>214</v>
      </c>
      <c r="U4" s="298"/>
      <c r="V4" s="298" t="s">
        <v>215</v>
      </c>
      <c r="W4" s="299"/>
      <c r="X4" s="14"/>
      <c r="Y4" s="14"/>
      <c r="Z4" s="14"/>
      <c r="AA4" s="14"/>
      <c r="AB4" s="14"/>
      <c r="AC4" s="14"/>
      <c r="AD4" s="14"/>
      <c r="AE4" s="14"/>
      <c r="AF4" s="14"/>
      <c r="AG4" s="14"/>
      <c r="AH4" s="14"/>
      <c r="AI4" s="14"/>
      <c r="AJ4" s="14"/>
      <c r="AK4" s="14"/>
      <c r="AL4" s="14"/>
      <c r="AM4" s="14"/>
      <c r="AN4" s="14"/>
      <c r="AO4" s="14"/>
      <c r="AP4" s="14"/>
      <c r="AR4">
        <v>0</v>
      </c>
      <c r="AS4" s="85">
        <f>Q36</f>
        <v>288</v>
      </c>
      <c r="AT4" s="85">
        <f>(1-$D$11)*AS4</f>
        <v>216</v>
      </c>
      <c r="AU4" s="85"/>
      <c r="AV4"/>
      <c r="AW4">
        <f t="shared" ref="AW4:AW29" si="0">IF(ISNUMBER(AR5),SUM(AT4:AU4),SUM(AT4:AV4))</f>
        <v>216</v>
      </c>
      <c r="AX4" s="86">
        <f t="shared" ref="AX4:AX30" si="1">LN(AW4+$J$36)-LN($J$36)</f>
        <v>0.56272869303125006</v>
      </c>
      <c r="AY4">
        <f t="shared" ref="AY4:AY30" si="2">IF(ISNUMBER(AR4),AX4/(1+$D$7)^AR4,0)</f>
        <v>0.56272869303125006</v>
      </c>
      <c r="AZ4"/>
    </row>
    <row r="5" spans="1:53" ht="10.75" customHeight="1" thickBot="1">
      <c r="A5" s="14"/>
      <c r="B5" s="318"/>
      <c r="C5" s="318"/>
      <c r="D5" s="318"/>
      <c r="E5" s="223"/>
      <c r="F5" s="315"/>
      <c r="G5" s="316"/>
      <c r="H5" s="27"/>
      <c r="I5" s="27"/>
      <c r="J5" s="14"/>
      <c r="K5" s="14"/>
      <c r="L5" s="14"/>
      <c r="M5" s="14"/>
      <c r="N5" s="14"/>
      <c r="O5" s="14"/>
      <c r="P5" s="14"/>
      <c r="Q5" s="246" t="s">
        <v>236</v>
      </c>
      <c r="R5" s="245">
        <f>D36/(1+D7)^10</f>
        <v>0.1553200531458121</v>
      </c>
      <c r="S5" s="245">
        <f>R5*(1-1/(1+D7)^G16)/(1-1/(1+D7))</f>
        <v>2.7984077146577926</v>
      </c>
      <c r="T5" s="300">
        <f>S5*G7*G9*G18*G8/G36</f>
        <v>7.9044675527642369E-2</v>
      </c>
      <c r="U5" s="300"/>
      <c r="V5" s="300">
        <f>G14*G11</f>
        <v>5.0448089055868213E-3</v>
      </c>
      <c r="W5" s="301"/>
      <c r="X5" s="14"/>
      <c r="Y5" s="14"/>
      <c r="Z5" s="14"/>
      <c r="AA5" s="14"/>
      <c r="AB5" s="14"/>
      <c r="AC5" s="14"/>
      <c r="AD5" s="14"/>
      <c r="AE5" s="14"/>
      <c r="AF5" s="14"/>
      <c r="AG5" s="14"/>
      <c r="AH5" s="14"/>
      <c r="AI5" s="14"/>
      <c r="AJ5" s="14"/>
      <c r="AK5" s="14"/>
      <c r="AL5" s="14"/>
      <c r="AM5" s="14"/>
      <c r="AN5" s="14"/>
      <c r="AO5" s="14"/>
      <c r="AP5" s="14"/>
      <c r="AR5">
        <f t="shared" ref="AR5:AR30" si="3">IF(AR4&lt;$D$14,AR4+1,"")</f>
        <v>1</v>
      </c>
      <c r="AS5" s="85">
        <f>AS4-AT4</f>
        <v>72</v>
      </c>
      <c r="AT5" s="85"/>
      <c r="AU5" s="85">
        <f t="shared" ref="AU5:AU30" si="4">$D$10*AS5</f>
        <v>10.799999999999999</v>
      </c>
      <c r="AV5" s="85">
        <f t="shared" ref="AV5:AV30" si="5">AS5</f>
        <v>72</v>
      </c>
      <c r="AW5">
        <f t="shared" si="0"/>
        <v>10.799999999999999</v>
      </c>
      <c r="AX5" s="86">
        <f t="shared" si="1"/>
        <v>3.707688177021673E-2</v>
      </c>
      <c r="AY5">
        <f t="shared" si="2"/>
        <v>3.5311315971634977E-2</v>
      </c>
      <c r="AZ5">
        <f>SUM(AY5:AY113)</f>
        <v>0.54393861771518315</v>
      </c>
      <c r="BA5" s="1">
        <f>SUM(AY5:AY23)</f>
        <v>0.44808601266900683</v>
      </c>
    </row>
    <row r="6" spans="1:53" ht="14">
      <c r="A6" s="14"/>
      <c r="B6" s="10"/>
      <c r="C6" s="311" t="s">
        <v>12</v>
      </c>
      <c r="D6" s="311"/>
      <c r="E6" s="49"/>
      <c r="F6" s="23" t="s">
        <v>13</v>
      </c>
      <c r="G6" s="24"/>
      <c r="H6" s="50"/>
      <c r="I6" s="311" t="s">
        <v>40</v>
      </c>
      <c r="J6" s="311"/>
      <c r="K6" s="159"/>
      <c r="L6" s="312" t="s">
        <v>210</v>
      </c>
      <c r="M6" s="312"/>
      <c r="N6" s="11"/>
      <c r="O6" s="6"/>
      <c r="P6" s="14"/>
      <c r="Q6" s="246" t="s">
        <v>237</v>
      </c>
      <c r="R6" s="245">
        <f>(M15*M11)/(1+D7)^10</f>
        <v>8.28782892280025E-3</v>
      </c>
      <c r="S6" s="245">
        <f>R6*(1-1/(1+D7)^G16)/(1-1/(1+D7))</f>
        <v>0.14932215078213518</v>
      </c>
      <c r="T6" s="300">
        <f>S6*M8*M9*M14*(W36/V36)</f>
        <v>1.6990471604594471E-3</v>
      </c>
      <c r="U6" s="300"/>
      <c r="V6" s="300">
        <v>0</v>
      </c>
      <c r="W6" s="301"/>
      <c r="X6" s="14"/>
      <c r="Y6" s="14"/>
      <c r="Z6" s="14"/>
      <c r="AA6" s="14"/>
      <c r="AB6" s="14"/>
      <c r="AC6" s="14"/>
      <c r="AD6" s="14"/>
      <c r="AE6" s="14"/>
      <c r="AF6" s="14"/>
      <c r="AG6" s="14"/>
      <c r="AH6" s="14"/>
      <c r="AI6" s="14"/>
      <c r="AJ6" s="14"/>
      <c r="AK6" s="14"/>
      <c r="AL6" s="14"/>
      <c r="AM6" s="14"/>
      <c r="AN6" s="14"/>
      <c r="AO6" s="14"/>
      <c r="AP6" s="14"/>
      <c r="AR6">
        <f t="shared" si="3"/>
        <v>2</v>
      </c>
      <c r="AS6" s="85">
        <f t="shared" ref="AS6:AS30" si="6">IF(ISNUMBER(AR6),AV5,0)</f>
        <v>72</v>
      </c>
      <c r="AT6" s="85"/>
      <c r="AU6" s="85">
        <f t="shared" si="4"/>
        <v>10.799999999999999</v>
      </c>
      <c r="AV6" s="85">
        <f t="shared" si="5"/>
        <v>72</v>
      </c>
      <c r="AW6">
        <f t="shared" si="0"/>
        <v>10.799999999999999</v>
      </c>
      <c r="AX6" s="86">
        <f t="shared" si="1"/>
        <v>3.707688177021673E-2</v>
      </c>
      <c r="AY6">
        <f t="shared" si="2"/>
        <v>3.3629824734890457E-2</v>
      </c>
      <c r="AZ6"/>
    </row>
    <row r="7" spans="1:53" ht="20.5" customHeight="1">
      <c r="A7" s="14"/>
      <c r="B7" s="306" t="s">
        <v>47</v>
      </c>
      <c r="C7" s="139" t="s">
        <v>0</v>
      </c>
      <c r="D7" s="179">
        <v>0.05</v>
      </c>
      <c r="E7" s="2"/>
      <c r="F7" s="174" t="s">
        <v>4</v>
      </c>
      <c r="G7" s="175">
        <v>0.30254930254930251</v>
      </c>
      <c r="H7" s="4"/>
      <c r="I7" s="174" t="s">
        <v>8</v>
      </c>
      <c r="J7" s="175">
        <v>8.9139100940933511E-2</v>
      </c>
      <c r="K7" s="160"/>
      <c r="L7" s="174" t="s">
        <v>217</v>
      </c>
      <c r="M7" s="180">
        <v>7.4999999999999997E-2</v>
      </c>
      <c r="N7" s="12"/>
      <c r="O7" s="6"/>
      <c r="P7" s="14"/>
      <c r="Q7" s="15"/>
      <c r="R7" s="6"/>
      <c r="S7" s="6"/>
      <c r="T7" s="6"/>
      <c r="U7" s="164"/>
      <c r="V7" s="6"/>
      <c r="W7" s="12"/>
      <c r="X7" s="14"/>
      <c r="Y7" s="14"/>
      <c r="Z7" s="14"/>
      <c r="AA7" s="14"/>
      <c r="AB7" s="14"/>
      <c r="AC7" s="14"/>
      <c r="AD7" s="14"/>
      <c r="AE7" s="14"/>
      <c r="AF7" s="14"/>
      <c r="AG7" s="14"/>
      <c r="AH7" s="14"/>
      <c r="AI7" s="14"/>
      <c r="AJ7" s="14"/>
      <c r="AK7" s="14"/>
      <c r="AL7" s="14"/>
      <c r="AM7" s="14"/>
      <c r="AN7" s="14"/>
      <c r="AO7" s="14"/>
      <c r="AP7" s="14"/>
      <c r="AR7">
        <f t="shared" si="3"/>
        <v>3</v>
      </c>
      <c r="AS7" s="85">
        <f t="shared" si="6"/>
        <v>72</v>
      </c>
      <c r="AT7" s="85"/>
      <c r="AU7" s="85">
        <f t="shared" si="4"/>
        <v>10.799999999999999</v>
      </c>
      <c r="AV7" s="85">
        <f t="shared" si="5"/>
        <v>72</v>
      </c>
      <c r="AW7">
        <f t="shared" si="0"/>
        <v>10.799999999999999</v>
      </c>
      <c r="AX7" s="86">
        <f t="shared" si="1"/>
        <v>3.707688177021673E-2</v>
      </c>
      <c r="AY7">
        <f t="shared" si="2"/>
        <v>3.2028404509419482E-2</v>
      </c>
      <c r="AZ7"/>
    </row>
    <row r="8" spans="1:53" ht="20.5" customHeight="1">
      <c r="A8" s="14"/>
      <c r="B8" s="306"/>
      <c r="C8" s="127"/>
      <c r="D8" s="127"/>
      <c r="E8" s="51"/>
      <c r="F8" s="178" t="s">
        <v>6</v>
      </c>
      <c r="G8" s="13">
        <v>0.75</v>
      </c>
      <c r="H8" s="5"/>
      <c r="I8" s="153" t="s">
        <v>9</v>
      </c>
      <c r="J8" s="154">
        <f>2/3</f>
        <v>0.66666666666666663</v>
      </c>
      <c r="K8" s="161"/>
      <c r="L8" s="153" t="s">
        <v>211</v>
      </c>
      <c r="M8" s="154">
        <v>0.75</v>
      </c>
      <c r="N8" s="12"/>
      <c r="O8" s="6"/>
      <c r="P8" s="14"/>
      <c r="Q8" s="309" t="s">
        <v>238</v>
      </c>
      <c r="R8" s="6"/>
      <c r="S8" s="247" t="s">
        <v>31</v>
      </c>
      <c r="T8" s="319" t="s">
        <v>34</v>
      </c>
      <c r="U8" s="319"/>
      <c r="V8" s="97"/>
      <c r="W8" s="12"/>
      <c r="X8" s="14"/>
      <c r="Y8" s="14"/>
      <c r="Z8" s="14"/>
      <c r="AA8" s="14"/>
      <c r="AB8" s="14"/>
      <c r="AC8" s="14"/>
      <c r="AD8" s="14"/>
      <c r="AE8" s="14"/>
      <c r="AF8" s="14"/>
      <c r="AG8" s="14"/>
      <c r="AH8" s="14"/>
      <c r="AI8" s="14"/>
      <c r="AJ8" s="14"/>
      <c r="AK8" s="14"/>
      <c r="AL8" s="14"/>
      <c r="AM8" s="14"/>
      <c r="AN8" s="14"/>
      <c r="AO8" s="14"/>
      <c r="AP8" s="14"/>
      <c r="AR8">
        <f t="shared" si="3"/>
        <v>4</v>
      </c>
      <c r="AS8" s="85">
        <f t="shared" si="6"/>
        <v>72</v>
      </c>
      <c r="AT8" s="85"/>
      <c r="AU8" s="85">
        <f t="shared" si="4"/>
        <v>10.799999999999999</v>
      </c>
      <c r="AV8" s="85">
        <f t="shared" si="5"/>
        <v>72</v>
      </c>
      <c r="AW8">
        <f t="shared" si="0"/>
        <v>10.799999999999999</v>
      </c>
      <c r="AX8" s="86">
        <f t="shared" si="1"/>
        <v>3.707688177021673E-2</v>
      </c>
      <c r="AY8">
        <f t="shared" si="2"/>
        <v>3.0503242389923319E-2</v>
      </c>
      <c r="AZ8"/>
    </row>
    <row r="9" spans="1:53" ht="33">
      <c r="A9" s="14"/>
      <c r="B9" s="306"/>
      <c r="C9" s="307" t="s">
        <v>14</v>
      </c>
      <c r="D9" s="307"/>
      <c r="E9" s="2"/>
      <c r="F9" s="153" t="s">
        <v>177</v>
      </c>
      <c r="G9" s="154">
        <v>1</v>
      </c>
      <c r="H9" s="5"/>
      <c r="I9" s="153" t="s">
        <v>204</v>
      </c>
      <c r="J9" s="154">
        <v>3</v>
      </c>
      <c r="K9" s="161"/>
      <c r="L9" s="153" t="s">
        <v>212</v>
      </c>
      <c r="M9" s="154">
        <v>0.8</v>
      </c>
      <c r="N9" s="12"/>
      <c r="O9" s="6"/>
      <c r="P9" s="14"/>
      <c r="Q9" s="309"/>
      <c r="R9" s="21" t="s">
        <v>46</v>
      </c>
      <c r="S9" s="125">
        <f>($V$5+$T$5*J14)*J7*J11</f>
        <v>5.9965288327717397E-3</v>
      </c>
      <c r="T9" s="308">
        <f>J12*S9/(J16/J9)</f>
        <v>5.99652883277174E-2</v>
      </c>
      <c r="U9" s="308"/>
      <c r="V9" s="99"/>
      <c r="W9" s="12"/>
      <c r="X9" s="14"/>
      <c r="Y9" s="14"/>
      <c r="Z9" s="14"/>
      <c r="AA9" s="14"/>
      <c r="AB9" s="14"/>
      <c r="AC9" s="14"/>
      <c r="AD9" s="14"/>
      <c r="AE9" s="14"/>
      <c r="AF9" s="14"/>
      <c r="AG9" s="14"/>
      <c r="AH9" s="14"/>
      <c r="AI9" s="14"/>
      <c r="AJ9" s="14"/>
      <c r="AK9" s="14"/>
      <c r="AL9" s="14"/>
      <c r="AM9" s="14"/>
      <c r="AN9" s="14"/>
      <c r="AO9" s="14"/>
      <c r="AP9" s="14"/>
      <c r="AR9">
        <f t="shared" si="3"/>
        <v>5</v>
      </c>
      <c r="AS9" s="85">
        <f t="shared" si="6"/>
        <v>72</v>
      </c>
      <c r="AT9" s="85"/>
      <c r="AU9" s="85">
        <f t="shared" si="4"/>
        <v>10.799999999999999</v>
      </c>
      <c r="AV9" s="85">
        <f t="shared" si="5"/>
        <v>72</v>
      </c>
      <c r="AW9">
        <f t="shared" si="0"/>
        <v>10.799999999999999</v>
      </c>
      <c r="AX9" s="86">
        <f t="shared" si="1"/>
        <v>3.707688177021673E-2</v>
      </c>
      <c r="AY9">
        <f t="shared" si="2"/>
        <v>2.9050707038022205E-2</v>
      </c>
      <c r="AZ9"/>
    </row>
    <row r="10" spans="1:53" ht="26.5" customHeight="1">
      <c r="A10" s="14"/>
      <c r="B10" s="306"/>
      <c r="C10" s="121" t="s">
        <v>3</v>
      </c>
      <c r="D10" s="122">
        <v>0.15</v>
      </c>
      <c r="E10" s="112"/>
      <c r="F10" s="126" t="s">
        <v>176</v>
      </c>
      <c r="G10" s="140">
        <v>2.4E-2</v>
      </c>
      <c r="H10" s="113"/>
      <c r="I10" s="153" t="s">
        <v>205</v>
      </c>
      <c r="J10" s="154">
        <v>1.4084507042253522</v>
      </c>
      <c r="K10" s="161"/>
      <c r="L10" s="153" t="s">
        <v>227</v>
      </c>
      <c r="M10" s="154">
        <v>1</v>
      </c>
      <c r="N10" s="12"/>
      <c r="O10" s="6"/>
      <c r="P10" s="14"/>
      <c r="Q10" s="309"/>
      <c r="R10" s="21" t="s">
        <v>45</v>
      </c>
      <c r="S10" s="250">
        <f>($V$5+$T$5*J15)*J8*J18</f>
        <v>4.0250721183290983E-2</v>
      </c>
      <c r="T10" s="308">
        <f>S10/(J17/J10)</f>
        <v>6.9135556824615224E-2</v>
      </c>
      <c r="U10" s="308"/>
      <c r="V10" s="99"/>
      <c r="W10" s="12"/>
      <c r="X10" s="14"/>
      <c r="Y10" s="14"/>
      <c r="Z10" s="14"/>
      <c r="AA10" s="14"/>
      <c r="AB10" s="14"/>
      <c r="AC10" s="14"/>
      <c r="AD10" s="14"/>
      <c r="AE10" s="14"/>
      <c r="AF10" s="14"/>
      <c r="AG10" s="14"/>
      <c r="AH10" s="14"/>
      <c r="AI10" s="14"/>
      <c r="AJ10" s="14"/>
      <c r="AK10" s="14"/>
      <c r="AL10" s="14"/>
      <c r="AM10" s="14"/>
      <c r="AN10" s="14"/>
      <c r="AO10" s="14"/>
      <c r="AP10" s="14"/>
      <c r="AR10">
        <f t="shared" si="3"/>
        <v>6</v>
      </c>
      <c r="AS10" s="85">
        <f t="shared" si="6"/>
        <v>72</v>
      </c>
      <c r="AT10" s="85"/>
      <c r="AU10" s="85">
        <f t="shared" si="4"/>
        <v>10.799999999999999</v>
      </c>
      <c r="AV10" s="85">
        <f t="shared" si="5"/>
        <v>72</v>
      </c>
      <c r="AW10">
        <f t="shared" si="0"/>
        <v>10.799999999999999</v>
      </c>
      <c r="AX10" s="86">
        <f t="shared" si="1"/>
        <v>3.707688177021673E-2</v>
      </c>
      <c r="AY10">
        <f t="shared" si="2"/>
        <v>2.7667340036211626E-2</v>
      </c>
      <c r="AZ10"/>
    </row>
    <row r="11" spans="1:53" ht="33" customHeight="1">
      <c r="A11" s="14"/>
      <c r="B11" s="306"/>
      <c r="C11" s="134" t="s">
        <v>5</v>
      </c>
      <c r="D11" s="135">
        <v>0.25</v>
      </c>
      <c r="E11" s="3"/>
      <c r="F11" s="153" t="s">
        <v>186</v>
      </c>
      <c r="G11" s="136">
        <v>3</v>
      </c>
      <c r="H11" s="6"/>
      <c r="I11" s="153" t="s">
        <v>107</v>
      </c>
      <c r="J11" s="154">
        <v>0.8</v>
      </c>
      <c r="K11" s="161"/>
      <c r="L11" s="153" t="s">
        <v>226</v>
      </c>
      <c r="M11" s="154">
        <v>0.5</v>
      </c>
      <c r="N11" s="12"/>
      <c r="O11" s="14"/>
      <c r="P11" s="14"/>
      <c r="Q11" s="309"/>
      <c r="R11" s="21" t="s">
        <v>216</v>
      </c>
      <c r="S11" s="250">
        <f>T6*M12</f>
        <v>1.6990471604594471E-3</v>
      </c>
      <c r="T11" s="395">
        <f>M13*S11/(M7/M10)</f>
        <v>2.2653962139459295E-2</v>
      </c>
      <c r="U11" s="308"/>
      <c r="V11" s="99"/>
      <c r="W11" s="12"/>
      <c r="X11" s="14"/>
      <c r="Y11" s="14"/>
      <c r="Z11" s="14"/>
      <c r="AA11" s="14"/>
      <c r="AB11" s="14"/>
      <c r="AC11" s="14"/>
      <c r="AD11" s="14"/>
      <c r="AE11" s="14"/>
      <c r="AF11" s="14"/>
      <c r="AG11" s="14"/>
      <c r="AH11" s="14"/>
      <c r="AI11" s="14"/>
      <c r="AJ11" s="14"/>
      <c r="AK11" s="14"/>
      <c r="AL11" s="14"/>
      <c r="AM11" s="14"/>
      <c r="AN11" s="14"/>
      <c r="AO11" s="14"/>
      <c r="AP11" s="14"/>
      <c r="AR11">
        <f t="shared" si="3"/>
        <v>7</v>
      </c>
      <c r="AS11" s="85">
        <f t="shared" si="6"/>
        <v>72</v>
      </c>
      <c r="AT11" s="85"/>
      <c r="AU11" s="85">
        <f t="shared" si="4"/>
        <v>10.799999999999999</v>
      </c>
      <c r="AV11" s="85">
        <f t="shared" si="5"/>
        <v>72</v>
      </c>
      <c r="AW11">
        <f t="shared" si="0"/>
        <v>10.799999999999999</v>
      </c>
      <c r="AX11" s="86">
        <f t="shared" si="1"/>
        <v>3.707688177021673E-2</v>
      </c>
      <c r="AY11">
        <f t="shared" si="2"/>
        <v>2.6349847653534878E-2</v>
      </c>
      <c r="AZ11"/>
    </row>
    <row r="12" spans="1:53" ht="20.5" customHeight="1">
      <c r="A12" s="14"/>
      <c r="B12" s="15"/>
      <c r="C12" s="9"/>
      <c r="D12" s="8"/>
      <c r="E12" s="2"/>
      <c r="F12" s="52"/>
      <c r="G12" s="53"/>
      <c r="H12" s="9"/>
      <c r="I12" s="153" t="s">
        <v>330</v>
      </c>
      <c r="J12" s="154">
        <v>1</v>
      </c>
      <c r="K12" s="6"/>
      <c r="L12" s="153" t="s">
        <v>219</v>
      </c>
      <c r="M12" s="154">
        <v>1</v>
      </c>
      <c r="N12" s="12"/>
      <c r="O12" s="6"/>
      <c r="P12" s="14"/>
      <c r="Q12" s="123"/>
      <c r="R12" s="21"/>
      <c r="S12" s="124"/>
      <c r="T12" s="99"/>
      <c r="U12" s="99"/>
      <c r="V12" s="99"/>
      <c r="W12" s="12"/>
      <c r="X12" s="14"/>
      <c r="Y12" s="14"/>
      <c r="Z12" s="14"/>
      <c r="AA12" s="14"/>
      <c r="AB12" s="14"/>
      <c r="AC12" s="14"/>
      <c r="AD12" s="14"/>
      <c r="AE12" s="14"/>
      <c r="AF12" s="14"/>
      <c r="AG12" s="14"/>
      <c r="AH12" s="14"/>
      <c r="AI12" s="14"/>
      <c r="AJ12" s="14"/>
      <c r="AK12" s="14"/>
      <c r="AL12" s="14"/>
      <c r="AM12" s="14"/>
      <c r="AN12" s="14"/>
      <c r="AO12" s="14"/>
      <c r="AP12" s="14"/>
      <c r="AR12">
        <f t="shared" si="3"/>
        <v>8</v>
      </c>
      <c r="AS12" s="85">
        <f t="shared" si="6"/>
        <v>72</v>
      </c>
      <c r="AT12" s="85"/>
      <c r="AU12" s="85">
        <f t="shared" si="4"/>
        <v>10.799999999999999</v>
      </c>
      <c r="AV12" s="85">
        <f t="shared" si="5"/>
        <v>72</v>
      </c>
      <c r="AW12">
        <f t="shared" si="0"/>
        <v>10.799999999999999</v>
      </c>
      <c r="AX12" s="86">
        <f t="shared" si="1"/>
        <v>3.707688177021673E-2</v>
      </c>
      <c r="AY12">
        <f t="shared" si="2"/>
        <v>2.5095093003366552E-2</v>
      </c>
      <c r="AZ12"/>
    </row>
    <row r="13" spans="1:53" ht="24" customHeight="1">
      <c r="A13" s="14"/>
      <c r="B13" s="15"/>
      <c r="C13" s="9"/>
      <c r="D13" s="8"/>
      <c r="E13" s="2"/>
      <c r="F13" s="52"/>
      <c r="G13" s="53"/>
      <c r="H13" s="6"/>
      <c r="I13" s="9"/>
      <c r="J13" s="8"/>
      <c r="K13" s="6"/>
      <c r="L13" s="153" t="s">
        <v>218</v>
      </c>
      <c r="M13" s="154">
        <v>1</v>
      </c>
      <c r="N13" s="12"/>
      <c r="O13" s="6"/>
      <c r="P13" s="14"/>
      <c r="Q13" s="309" t="s">
        <v>239</v>
      </c>
      <c r="R13" s="48"/>
      <c r="S13" s="247" t="s">
        <v>173</v>
      </c>
      <c r="T13" s="319" t="s">
        <v>174</v>
      </c>
      <c r="U13" s="319"/>
      <c r="V13" s="247" t="s">
        <v>175</v>
      </c>
      <c r="W13" s="249" t="s">
        <v>184</v>
      </c>
      <c r="X13" s="14"/>
      <c r="Y13" s="14"/>
      <c r="Z13" s="14"/>
      <c r="AA13" s="14"/>
      <c r="AB13" s="14"/>
      <c r="AC13" s="14"/>
      <c r="AD13" s="14"/>
      <c r="AE13" s="14"/>
      <c r="AF13" s="14"/>
      <c r="AG13" s="14"/>
      <c r="AH13" s="14"/>
      <c r="AI13" s="14"/>
      <c r="AJ13" s="14"/>
      <c r="AK13" s="14"/>
      <c r="AL13" s="14"/>
      <c r="AM13" s="14"/>
      <c r="AN13" s="14"/>
      <c r="AO13" s="14"/>
      <c r="AP13" s="14"/>
      <c r="AR13">
        <f t="shared" si="3"/>
        <v>9</v>
      </c>
      <c r="AS13" s="85">
        <f t="shared" si="6"/>
        <v>72</v>
      </c>
      <c r="AT13" s="85"/>
      <c r="AU13" s="85">
        <f t="shared" si="4"/>
        <v>10.799999999999999</v>
      </c>
      <c r="AV13" s="85">
        <f t="shared" si="5"/>
        <v>72</v>
      </c>
      <c r="AW13">
        <f t="shared" si="0"/>
        <v>10.799999999999999</v>
      </c>
      <c r="AX13" s="86">
        <f t="shared" si="1"/>
        <v>3.707688177021673E-2</v>
      </c>
      <c r="AY13">
        <f t="shared" si="2"/>
        <v>2.3900088574634812E-2</v>
      </c>
      <c r="AZ13"/>
    </row>
    <row r="14" spans="1:53" ht="21" customHeight="1">
      <c r="A14" s="14"/>
      <c r="B14" s="357" t="s">
        <v>296</v>
      </c>
      <c r="C14" s="358" t="s">
        <v>1</v>
      </c>
      <c r="D14" s="359">
        <v>20</v>
      </c>
      <c r="E14" s="3"/>
      <c r="F14" s="358" t="s">
        <v>2</v>
      </c>
      <c r="G14" s="359">
        <v>1.6816029685289403E-3</v>
      </c>
      <c r="H14" s="6"/>
      <c r="I14" s="128" t="s">
        <v>11</v>
      </c>
      <c r="J14" s="129">
        <v>1</v>
      </c>
      <c r="K14" s="162"/>
      <c r="L14" s="153" t="s">
        <v>220</v>
      </c>
      <c r="M14" s="154">
        <v>0.66</v>
      </c>
      <c r="N14" s="12"/>
      <c r="O14" s="6"/>
      <c r="P14" s="14"/>
      <c r="Q14" s="309"/>
      <c r="R14" s="21" t="s">
        <v>46</v>
      </c>
      <c r="S14" s="250">
        <f>(1000/(J16/J9))*J14*J11*J12*G9*G10*G7*J7*G8*G18*(1/G36)</f>
        <v>0.48342723062432214</v>
      </c>
      <c r="T14" s="325">
        <f>(((1000/(J16/J9))*G14)/U36)*J7*J11</f>
        <v>3.2831556852407864E-2</v>
      </c>
      <c r="U14" s="325"/>
      <c r="V14" s="250">
        <f>S14+T14</f>
        <v>0.51625878747673004</v>
      </c>
      <c r="W14" s="192">
        <f>1000/V14</f>
        <v>1937.0130334974185</v>
      </c>
      <c r="X14" s="14"/>
      <c r="Y14" s="14"/>
      <c r="Z14" s="14"/>
      <c r="AA14" s="14"/>
      <c r="AB14" s="14"/>
      <c r="AC14" s="14"/>
      <c r="AD14" s="14"/>
      <c r="AE14" s="14"/>
      <c r="AF14" s="14"/>
      <c r="AG14" s="14"/>
      <c r="AH14" s="14"/>
      <c r="AI14" s="14"/>
      <c r="AJ14" s="14"/>
      <c r="AK14" s="14"/>
      <c r="AL14" s="14"/>
      <c r="AM14" s="14"/>
      <c r="AN14" s="14"/>
      <c r="AO14" s="14"/>
      <c r="AP14" s="14"/>
      <c r="AR14">
        <f t="shared" si="3"/>
        <v>10</v>
      </c>
      <c r="AS14" s="85">
        <f t="shared" si="6"/>
        <v>72</v>
      </c>
      <c r="AT14" s="85"/>
      <c r="AU14" s="85">
        <f t="shared" si="4"/>
        <v>10.799999999999999</v>
      </c>
      <c r="AV14" s="85">
        <f t="shared" si="5"/>
        <v>72</v>
      </c>
      <c r="AW14">
        <f t="shared" si="0"/>
        <v>10.799999999999999</v>
      </c>
      <c r="AX14" s="86">
        <f t="shared" si="1"/>
        <v>3.707688177021673E-2</v>
      </c>
      <c r="AY14">
        <f t="shared" si="2"/>
        <v>2.2761989118699821E-2</v>
      </c>
      <c r="AZ14"/>
    </row>
    <row r="15" spans="1:53" ht="21" customHeight="1">
      <c r="A15" s="14"/>
      <c r="B15" s="357"/>
      <c r="C15" s="354"/>
      <c r="D15" s="359"/>
      <c r="E15" s="3"/>
      <c r="F15" s="354"/>
      <c r="G15" s="363"/>
      <c r="H15" s="6"/>
      <c r="I15" s="137" t="s">
        <v>10</v>
      </c>
      <c r="J15" s="138">
        <v>0.7</v>
      </c>
      <c r="K15" s="162"/>
      <c r="L15" s="176" t="s">
        <v>224</v>
      </c>
      <c r="M15" s="177">
        <v>2.6999999999999996E-2</v>
      </c>
      <c r="N15" s="12"/>
      <c r="O15" s="6"/>
      <c r="P15" s="14"/>
      <c r="Q15" s="309"/>
      <c r="R15" s="21" t="s">
        <v>45</v>
      </c>
      <c r="S15" s="254">
        <f>(1000/(J17/J10))*J15*J8*G10*G7*G8*J18*G9*G18*(1/G36)</f>
        <v>0.54338475921511209</v>
      </c>
      <c r="T15" s="326">
        <f>(((1000/(J17/J10))*G14)/U36)*J18*J8</f>
        <v>5.2719317657513309E-2</v>
      </c>
      <c r="U15" s="326"/>
      <c r="V15" s="250">
        <f>S15+T15</f>
        <v>0.59610407687262534</v>
      </c>
      <c r="W15" s="192">
        <f>1000/V15</f>
        <v>1677.5594041335144</v>
      </c>
      <c r="X15" s="14"/>
      <c r="Y15" s="14"/>
      <c r="Z15" s="14"/>
      <c r="AA15" s="14"/>
      <c r="AB15" s="14"/>
      <c r="AC15" s="14"/>
      <c r="AD15" s="14"/>
      <c r="AE15" s="14"/>
      <c r="AF15" s="14"/>
      <c r="AG15" s="14"/>
      <c r="AH15" s="14"/>
      <c r="AI15" s="14"/>
      <c r="AJ15" s="14"/>
      <c r="AK15" s="14"/>
      <c r="AL15" s="14"/>
      <c r="AM15" s="14"/>
      <c r="AN15" s="14"/>
      <c r="AO15" s="14"/>
      <c r="AP15" s="14"/>
      <c r="AR15">
        <f t="shared" si="3"/>
        <v>11</v>
      </c>
      <c r="AS15" s="85">
        <f t="shared" si="6"/>
        <v>72</v>
      </c>
      <c r="AT15" s="85"/>
      <c r="AU15" s="85">
        <f t="shared" si="4"/>
        <v>10.799999999999999</v>
      </c>
      <c r="AV15" s="85">
        <f t="shared" si="5"/>
        <v>72</v>
      </c>
      <c r="AW15">
        <f t="shared" si="0"/>
        <v>10.799999999999999</v>
      </c>
      <c r="AX15" s="86">
        <f t="shared" si="1"/>
        <v>3.707688177021673E-2</v>
      </c>
      <c r="AY15">
        <f t="shared" si="2"/>
        <v>2.1678084874952208E-2</v>
      </c>
      <c r="AZ15"/>
    </row>
    <row r="16" spans="1:53" ht="21" customHeight="1">
      <c r="A16" s="14"/>
      <c r="B16" s="357"/>
      <c r="C16" s="353" t="s">
        <v>19</v>
      </c>
      <c r="D16" s="360">
        <v>0.80400000000000005</v>
      </c>
      <c r="E16" s="3"/>
      <c r="F16" s="353" t="s">
        <v>303</v>
      </c>
      <c r="G16" s="355">
        <v>40</v>
      </c>
      <c r="H16" s="6"/>
      <c r="I16" s="132" t="s">
        <v>28</v>
      </c>
      <c r="J16" s="130">
        <v>0.3</v>
      </c>
      <c r="K16" s="163"/>
      <c r="L16" s="6"/>
      <c r="M16" s="6"/>
      <c r="N16" s="12"/>
      <c r="O16" s="6"/>
      <c r="P16" s="14"/>
      <c r="Q16" s="309"/>
      <c r="R16" s="21" t="s">
        <v>210</v>
      </c>
      <c r="S16" s="367">
        <f>(1000/(M7/M10))*M9*M8*(1/V36)*W36*M12*M14*M11*(M15/D36)*M13*G10</f>
        <v>0.1942873043478261</v>
      </c>
      <c r="T16" s="367"/>
      <c r="U16" s="251">
        <v>0</v>
      </c>
      <c r="V16" s="250">
        <f>S16+U16</f>
        <v>0.1942873043478261</v>
      </c>
      <c r="W16" s="192">
        <f>1000/V16</f>
        <v>5147.0166996075732</v>
      </c>
      <c r="X16" s="14"/>
      <c r="Y16" s="14"/>
      <c r="Z16" s="14"/>
      <c r="AA16" s="14"/>
      <c r="AB16" s="14"/>
      <c r="AC16" s="14"/>
      <c r="AD16" s="14"/>
      <c r="AE16" s="14"/>
      <c r="AF16" s="14"/>
      <c r="AG16" s="14"/>
      <c r="AH16" s="14"/>
      <c r="AI16" s="14"/>
      <c r="AJ16" s="14"/>
      <c r="AK16" s="14"/>
      <c r="AL16" s="14"/>
      <c r="AM16" s="14"/>
      <c r="AN16" s="14"/>
      <c r="AO16" s="14"/>
      <c r="AP16" s="14"/>
      <c r="AR16">
        <f t="shared" si="3"/>
        <v>12</v>
      </c>
      <c r="AS16" s="85">
        <f t="shared" si="6"/>
        <v>72</v>
      </c>
      <c r="AT16" s="85"/>
      <c r="AU16" s="85">
        <f t="shared" si="4"/>
        <v>10.799999999999999</v>
      </c>
      <c r="AV16" s="85">
        <f t="shared" si="5"/>
        <v>72</v>
      </c>
      <c r="AW16">
        <f t="shared" si="0"/>
        <v>10.799999999999999</v>
      </c>
      <c r="AX16" s="86">
        <f t="shared" si="1"/>
        <v>3.707688177021673E-2</v>
      </c>
      <c r="AY16">
        <f t="shared" si="2"/>
        <v>2.0645795119002105E-2</v>
      </c>
      <c r="AZ16"/>
    </row>
    <row r="17" spans="1:53" ht="31.75" customHeight="1">
      <c r="A17" s="14"/>
      <c r="B17" s="357"/>
      <c r="C17" s="362"/>
      <c r="D17" s="361"/>
      <c r="E17" s="3"/>
      <c r="F17" s="354"/>
      <c r="G17" s="356"/>
      <c r="H17" s="6"/>
      <c r="I17" s="133" t="s">
        <v>7</v>
      </c>
      <c r="J17" s="131">
        <v>0.82</v>
      </c>
      <c r="K17" s="163"/>
      <c r="L17" s="14"/>
      <c r="M17" s="14"/>
      <c r="N17" s="12"/>
      <c r="O17" s="6"/>
      <c r="P17" s="14"/>
      <c r="Q17" s="15"/>
      <c r="R17" s="6"/>
      <c r="S17" s="6"/>
      <c r="T17" s="6"/>
      <c r="U17" s="6"/>
      <c r="V17" s="6"/>
      <c r="W17" s="12"/>
      <c r="X17" s="14"/>
      <c r="Y17" s="14"/>
      <c r="Z17" s="14"/>
      <c r="AA17" s="14"/>
      <c r="AB17" s="14"/>
      <c r="AC17" s="14"/>
      <c r="AD17" s="14"/>
      <c r="AE17" s="14"/>
      <c r="AF17" s="14"/>
      <c r="AG17" s="14"/>
      <c r="AH17" s="14"/>
      <c r="AI17" s="14"/>
      <c r="AJ17" s="14"/>
      <c r="AK17" s="14"/>
      <c r="AL17" s="14"/>
      <c r="AM17" s="14"/>
      <c r="AN17" s="14"/>
      <c r="AO17" s="14"/>
      <c r="AP17" s="14"/>
      <c r="AR17">
        <f t="shared" si="3"/>
        <v>13</v>
      </c>
      <c r="AS17" s="85">
        <f t="shared" si="6"/>
        <v>72</v>
      </c>
      <c r="AT17" s="85"/>
      <c r="AU17" s="85">
        <f t="shared" si="4"/>
        <v>10.799999999999999</v>
      </c>
      <c r="AV17" s="85">
        <f t="shared" si="5"/>
        <v>72</v>
      </c>
      <c r="AW17">
        <f t="shared" si="0"/>
        <v>10.799999999999999</v>
      </c>
      <c r="AX17" s="86">
        <f t="shared" si="1"/>
        <v>3.707688177021673E-2</v>
      </c>
      <c r="AY17">
        <f t="shared" si="2"/>
        <v>1.966266201809724E-2</v>
      </c>
      <c r="AZ17"/>
    </row>
    <row r="18" spans="1:53" ht="30.5" customHeight="1">
      <c r="A18" s="14"/>
      <c r="B18" s="357"/>
      <c r="C18" s="6"/>
      <c r="D18" s="6"/>
      <c r="E18" s="3"/>
      <c r="F18" s="150" t="s">
        <v>254</v>
      </c>
      <c r="G18" s="147">
        <v>0.3</v>
      </c>
      <c r="H18" s="6"/>
      <c r="I18" s="146" t="s">
        <v>131</v>
      </c>
      <c r="J18" s="145">
        <v>1</v>
      </c>
      <c r="K18" s="162"/>
      <c r="L18" s="14"/>
      <c r="M18" s="14"/>
      <c r="N18" s="12"/>
      <c r="O18" s="6"/>
      <c r="P18" s="6"/>
      <c r="Q18" s="309" t="s">
        <v>240</v>
      </c>
      <c r="R18" s="247" t="s">
        <v>179</v>
      </c>
      <c r="S18" s="247" t="s">
        <v>35</v>
      </c>
      <c r="T18" s="319" t="s">
        <v>36</v>
      </c>
      <c r="U18" s="319"/>
      <c r="V18" s="319" t="s">
        <v>34</v>
      </c>
      <c r="W18" s="324"/>
      <c r="X18" s="14"/>
      <c r="Y18" s="14"/>
      <c r="Z18" s="14"/>
      <c r="AA18" s="14"/>
      <c r="AB18" s="14"/>
      <c r="AC18" s="14"/>
      <c r="AD18" s="14"/>
      <c r="AE18" s="14"/>
      <c r="AF18" s="14"/>
      <c r="AG18" s="14"/>
      <c r="AH18" s="14"/>
      <c r="AI18" s="14"/>
      <c r="AJ18" s="14"/>
      <c r="AK18" s="14"/>
      <c r="AL18" s="14"/>
      <c r="AM18" s="14"/>
      <c r="AN18" s="14"/>
      <c r="AO18" s="14"/>
      <c r="AP18" s="14"/>
      <c r="AR18">
        <f t="shared" si="3"/>
        <v>14</v>
      </c>
      <c r="AS18" s="85">
        <f t="shared" si="6"/>
        <v>72</v>
      </c>
      <c r="AT18" s="85"/>
      <c r="AU18" s="85">
        <f t="shared" si="4"/>
        <v>10.799999999999999</v>
      </c>
      <c r="AV18" s="85">
        <f t="shared" si="5"/>
        <v>72</v>
      </c>
      <c r="AW18">
        <f t="shared" si="0"/>
        <v>10.799999999999999</v>
      </c>
      <c r="AX18" s="86">
        <f t="shared" si="1"/>
        <v>3.707688177021673E-2</v>
      </c>
      <c r="AY18">
        <f t="shared" si="2"/>
        <v>1.8726344779140234E-2</v>
      </c>
      <c r="AZ18"/>
    </row>
    <row r="19" spans="1:53" ht="10.25" customHeight="1" thickBot="1">
      <c r="A19" s="14"/>
      <c r="B19" s="141"/>
      <c r="C19" s="7"/>
      <c r="D19" s="7"/>
      <c r="E19" s="7"/>
      <c r="F19" s="142"/>
      <c r="G19" s="143"/>
      <c r="H19" s="7"/>
      <c r="I19" s="7"/>
      <c r="J19" s="7"/>
      <c r="K19" s="7"/>
      <c r="L19" s="172"/>
      <c r="M19" s="7"/>
      <c r="N19" s="144"/>
      <c r="O19" s="6"/>
      <c r="P19" s="14"/>
      <c r="Q19" s="321"/>
      <c r="R19" s="248">
        <f>AZ5</f>
        <v>0.54393861771518315</v>
      </c>
      <c r="S19" s="248">
        <f>AY4</f>
        <v>0.56272869303125006</v>
      </c>
      <c r="T19" s="320">
        <f>R19+S19</f>
        <v>1.1066673107464333</v>
      </c>
      <c r="U19" s="320"/>
      <c r="V19" s="322">
        <f>T19/(Holden!Q36/Holden!D16)</f>
        <v>3.0894462425004598E-3</v>
      </c>
      <c r="W19" s="323"/>
      <c r="X19" s="14"/>
      <c r="Y19" s="14"/>
      <c r="Z19" s="14"/>
      <c r="AA19" s="14"/>
      <c r="AB19" s="14"/>
      <c r="AC19" s="14"/>
      <c r="AD19" s="14"/>
      <c r="AE19" s="14"/>
      <c r="AF19" s="14"/>
      <c r="AG19" s="14"/>
      <c r="AH19" s="14"/>
      <c r="AI19" s="14"/>
      <c r="AJ19" s="14"/>
      <c r="AK19" s="14"/>
      <c r="AL19" s="14"/>
      <c r="AM19" s="14"/>
      <c r="AN19" s="14"/>
      <c r="AO19" s="14"/>
      <c r="AP19" s="14"/>
      <c r="AR19">
        <f t="shared" si="3"/>
        <v>15</v>
      </c>
      <c r="AS19" s="85">
        <f t="shared" si="6"/>
        <v>72</v>
      </c>
      <c r="AT19" s="85"/>
      <c r="AU19" s="85">
        <f t="shared" si="4"/>
        <v>10.799999999999999</v>
      </c>
      <c r="AV19" s="85">
        <f t="shared" si="5"/>
        <v>72</v>
      </c>
      <c r="AW19">
        <f t="shared" si="0"/>
        <v>10.799999999999999</v>
      </c>
      <c r="AX19" s="86">
        <f t="shared" si="1"/>
        <v>3.707688177021673E-2</v>
      </c>
      <c r="AY19">
        <f t="shared" si="2"/>
        <v>1.7834614075371645E-2</v>
      </c>
      <c r="AZ19"/>
    </row>
    <row r="20" spans="1:53" ht="9.5" customHeight="1" thickBot="1">
      <c r="A20" s="14"/>
      <c r="B20" s="14"/>
      <c r="C20" s="14"/>
      <c r="D20" s="14"/>
      <c r="E20" s="14"/>
      <c r="F20" s="14"/>
      <c r="G20" s="14"/>
      <c r="H20" s="14"/>
      <c r="I20" s="14"/>
      <c r="J20" s="14"/>
      <c r="K20" s="14"/>
      <c r="L20" s="14"/>
      <c r="M20" s="14"/>
      <c r="N20" s="14"/>
      <c r="O20" s="14"/>
      <c r="P20" s="14"/>
      <c r="Q20" s="6"/>
      <c r="R20" s="6"/>
      <c r="S20" s="6"/>
      <c r="T20" s="6"/>
      <c r="U20" s="6"/>
      <c r="V20" s="6"/>
      <c r="W20" s="6"/>
      <c r="X20" s="14"/>
      <c r="Y20" s="14"/>
      <c r="Z20" s="14"/>
      <c r="AA20" s="14"/>
      <c r="AB20" s="14"/>
      <c r="AC20" s="14"/>
      <c r="AD20" s="14"/>
      <c r="AE20" s="14"/>
      <c r="AF20" s="14"/>
      <c r="AG20" s="14"/>
      <c r="AH20" s="14"/>
      <c r="AI20" s="14"/>
      <c r="AJ20" s="14"/>
      <c r="AK20" s="14"/>
      <c r="AL20" s="14"/>
      <c r="AM20" s="14"/>
      <c r="AN20" s="14"/>
      <c r="AO20" s="14"/>
      <c r="AP20" s="14"/>
      <c r="AR20">
        <f t="shared" si="3"/>
        <v>16</v>
      </c>
      <c r="AS20" s="85">
        <f t="shared" si="6"/>
        <v>72</v>
      </c>
      <c r="AT20" s="85"/>
      <c r="AU20" s="85">
        <f t="shared" si="4"/>
        <v>10.799999999999999</v>
      </c>
      <c r="AV20" s="85">
        <f t="shared" si="5"/>
        <v>72</v>
      </c>
      <c r="AW20">
        <f t="shared" si="0"/>
        <v>10.799999999999999</v>
      </c>
      <c r="AX20" s="86">
        <f t="shared" si="1"/>
        <v>3.707688177021673E-2</v>
      </c>
      <c r="AY20">
        <f t="shared" si="2"/>
        <v>1.6985346738449189E-2</v>
      </c>
      <c r="AZ20"/>
    </row>
    <row r="21" spans="1:53" ht="10.25" customHeight="1">
      <c r="A21" s="14"/>
      <c r="B21" s="14"/>
      <c r="C21" s="14"/>
      <c r="D21" s="14"/>
      <c r="E21" s="6"/>
      <c r="F21" s="384" t="s">
        <v>34</v>
      </c>
      <c r="G21" s="28" t="s">
        <v>33</v>
      </c>
      <c r="H21" s="29"/>
      <c r="I21" s="30">
        <f>T9</f>
        <v>5.99652883277174E-2</v>
      </c>
      <c r="J21" s="31"/>
      <c r="K21" s="31"/>
      <c r="L21" s="31"/>
      <c r="M21" s="31"/>
      <c r="N21" s="32"/>
      <c r="O21" s="36"/>
      <c r="P21" s="6"/>
      <c r="Q21" s="181"/>
      <c r="R21" s="381" t="s">
        <v>301</v>
      </c>
      <c r="S21" s="382"/>
      <c r="T21" s="96"/>
      <c r="U21" s="377" t="s">
        <v>37</v>
      </c>
      <c r="V21" s="377"/>
      <c r="W21" s="378"/>
      <c r="X21" s="14"/>
      <c r="Y21" s="14"/>
      <c r="Z21" s="14"/>
      <c r="AA21" s="14"/>
      <c r="AB21" s="14"/>
      <c r="AC21" s="14"/>
      <c r="AD21" s="14"/>
      <c r="AE21" s="14"/>
      <c r="AF21" s="14"/>
      <c r="AG21" s="14"/>
      <c r="AH21" s="14"/>
      <c r="AI21" s="14"/>
      <c r="AJ21" s="14"/>
      <c r="AK21" s="14"/>
      <c r="AL21" s="14"/>
      <c r="AM21" s="14"/>
      <c r="AN21" s="14"/>
      <c r="AO21" s="14"/>
      <c r="AP21" s="14"/>
      <c r="AR21">
        <f t="shared" si="3"/>
        <v>17</v>
      </c>
      <c r="AS21" s="85">
        <f t="shared" si="6"/>
        <v>72</v>
      </c>
      <c r="AT21" s="85"/>
      <c r="AU21" s="85">
        <f t="shared" si="4"/>
        <v>10.799999999999999</v>
      </c>
      <c r="AV21" s="85">
        <f t="shared" si="5"/>
        <v>72</v>
      </c>
      <c r="AW21">
        <f t="shared" si="0"/>
        <v>10.799999999999999</v>
      </c>
      <c r="AX21" s="86">
        <f t="shared" si="1"/>
        <v>3.707688177021673E-2</v>
      </c>
      <c r="AY21">
        <f t="shared" si="2"/>
        <v>1.6176520703284937E-2</v>
      </c>
      <c r="AZ21"/>
    </row>
    <row r="22" spans="1:53" ht="12" customHeight="1" thickBot="1">
      <c r="A22" s="14"/>
      <c r="B22" s="14"/>
      <c r="C22" s="14"/>
      <c r="D22" s="14"/>
      <c r="E22" s="6"/>
      <c r="F22" s="368"/>
      <c r="G22" s="33" t="s">
        <v>32</v>
      </c>
      <c r="H22" s="34"/>
      <c r="I22" s="35">
        <f>T10</f>
        <v>6.9135556824615224E-2</v>
      </c>
      <c r="J22" s="36"/>
      <c r="K22" s="36"/>
      <c r="L22" s="36"/>
      <c r="M22" s="36"/>
      <c r="N22" s="37"/>
      <c r="O22" s="36"/>
      <c r="P22" s="6"/>
      <c r="Q22" s="193"/>
      <c r="R22" s="309"/>
      <c r="S22" s="383"/>
      <c r="T22" s="97"/>
      <c r="U22" s="379"/>
      <c r="V22" s="379"/>
      <c r="W22" s="380"/>
      <c r="X22" s="14"/>
      <c r="Y22" s="83"/>
      <c r="Z22" s="14"/>
      <c r="AA22" s="14"/>
      <c r="AB22" s="14"/>
      <c r="AC22" s="14"/>
      <c r="AD22" s="14"/>
      <c r="AE22" s="14"/>
      <c r="AF22" s="14"/>
      <c r="AG22" s="14"/>
      <c r="AH22" s="14"/>
      <c r="AI22" s="14"/>
      <c r="AJ22" s="14"/>
      <c r="AK22" s="14"/>
      <c r="AL22" s="14"/>
      <c r="AM22" s="14"/>
      <c r="AN22" s="14"/>
      <c r="AO22" s="14"/>
      <c r="AP22" s="14"/>
      <c r="AR22">
        <f t="shared" si="3"/>
        <v>18</v>
      </c>
      <c r="AS22" s="85">
        <f t="shared" si="6"/>
        <v>72</v>
      </c>
      <c r="AT22" s="85"/>
      <c r="AU22" s="85">
        <f t="shared" si="4"/>
        <v>10.799999999999999</v>
      </c>
      <c r="AV22" s="85">
        <f t="shared" si="5"/>
        <v>72</v>
      </c>
      <c r="AW22">
        <f t="shared" si="0"/>
        <v>10.799999999999999</v>
      </c>
      <c r="AX22" s="86">
        <f t="shared" si="1"/>
        <v>3.707688177021673E-2</v>
      </c>
      <c r="AY22">
        <f t="shared" si="2"/>
        <v>1.5406210193604703E-2</v>
      </c>
      <c r="AZ22"/>
    </row>
    <row r="23" spans="1:53" ht="10.75" customHeight="1">
      <c r="A23" s="14"/>
      <c r="B23" s="313" t="s">
        <v>234</v>
      </c>
      <c r="C23" s="349"/>
      <c r="D23" s="349"/>
      <c r="E23" s="349"/>
      <c r="F23" s="368"/>
      <c r="G23" s="33" t="s">
        <v>210</v>
      </c>
      <c r="H23" s="34"/>
      <c r="I23" s="35">
        <f>T11</f>
        <v>2.2653962139459295E-2</v>
      </c>
      <c r="J23" s="36"/>
      <c r="K23" s="36"/>
      <c r="L23" s="36"/>
      <c r="M23" s="36"/>
      <c r="N23" s="37"/>
      <c r="O23" s="36"/>
      <c r="P23" s="6"/>
      <c r="Q23" s="181"/>
      <c r="R23" s="84" t="s">
        <v>44</v>
      </c>
      <c r="S23" s="46">
        <f>W24/W23</f>
        <v>4.8709700345129496</v>
      </c>
      <c r="T23" s="98"/>
      <c r="U23" s="45" t="s">
        <v>38</v>
      </c>
      <c r="V23" s="45"/>
      <c r="W23" s="47">
        <f>(R36/S36)*T5</f>
        <v>41.76471067044303</v>
      </c>
      <c r="X23" s="14"/>
      <c r="Y23" s="83"/>
      <c r="Z23" s="14"/>
      <c r="AA23" s="14"/>
      <c r="AB23" s="14"/>
      <c r="AC23" s="14"/>
      <c r="AD23" s="14"/>
      <c r="AE23" s="14"/>
      <c r="AF23" s="14"/>
      <c r="AG23" s="14"/>
      <c r="AH23" s="14"/>
      <c r="AI23" s="14"/>
      <c r="AJ23" s="14"/>
      <c r="AK23" s="14"/>
      <c r="AL23" s="14"/>
      <c r="AM23" s="14"/>
      <c r="AN23" s="14"/>
      <c r="AO23" s="14"/>
      <c r="AP23" s="14"/>
      <c r="AR23">
        <f t="shared" si="3"/>
        <v>19</v>
      </c>
      <c r="AS23" s="85">
        <f t="shared" si="6"/>
        <v>72</v>
      </c>
      <c r="AT23" s="85"/>
      <c r="AU23" s="85">
        <f t="shared" si="4"/>
        <v>10.799999999999999</v>
      </c>
      <c r="AV23" s="85">
        <f t="shared" si="5"/>
        <v>72</v>
      </c>
      <c r="AW23">
        <f t="shared" si="0"/>
        <v>10.799999999999999</v>
      </c>
      <c r="AX23" s="86">
        <f t="shared" si="1"/>
        <v>3.707688177021673E-2</v>
      </c>
      <c r="AY23">
        <f t="shared" si="2"/>
        <v>1.4672581136766383E-2</v>
      </c>
      <c r="AZ23"/>
    </row>
    <row r="24" spans="1:53" ht="12.5" customHeight="1" thickBot="1">
      <c r="A24" s="14"/>
      <c r="B24" s="350"/>
      <c r="C24" s="351"/>
      <c r="D24" s="351"/>
      <c r="E24" s="351"/>
      <c r="F24" s="368"/>
      <c r="G24" s="33" t="s">
        <v>14</v>
      </c>
      <c r="H24" s="34"/>
      <c r="I24" s="35">
        <f>Holden!V19</f>
        <v>3.0894462425004598E-3</v>
      </c>
      <c r="J24" s="36"/>
      <c r="K24" s="36"/>
      <c r="L24" s="36"/>
      <c r="M24" s="36"/>
      <c r="N24" s="37"/>
      <c r="O24" s="36"/>
      <c r="P24" s="6"/>
      <c r="Q24" s="193"/>
      <c r="R24" s="84" t="s">
        <v>32</v>
      </c>
      <c r="S24" s="46">
        <f>W25/W23</f>
        <v>5.6158693638167785</v>
      </c>
      <c r="T24" s="98"/>
      <c r="U24" s="45" t="s">
        <v>39</v>
      </c>
      <c r="V24" s="45"/>
      <c r="W24" s="47">
        <f>T9*R36</f>
        <v>203.43465417583124</v>
      </c>
      <c r="X24" s="14"/>
      <c r="Y24" s="6"/>
      <c r="Z24" s="14"/>
      <c r="AA24" s="14"/>
      <c r="AB24" s="14"/>
      <c r="AC24" s="14"/>
      <c r="AD24" s="14"/>
      <c r="AE24" s="14"/>
      <c r="AF24" s="14"/>
      <c r="AG24" s="14"/>
      <c r="AH24" s="14"/>
      <c r="AI24" s="14"/>
      <c r="AJ24" s="14"/>
      <c r="AK24" s="14"/>
      <c r="AL24" s="14"/>
      <c r="AM24" s="14"/>
      <c r="AN24" s="14"/>
      <c r="AO24" s="14"/>
      <c r="AP24" s="14"/>
      <c r="AR24">
        <f t="shared" si="3"/>
        <v>20</v>
      </c>
      <c r="AS24" s="85">
        <f t="shared" si="6"/>
        <v>72</v>
      </c>
      <c r="AT24" s="85"/>
      <c r="AU24" s="85">
        <f t="shared" si="4"/>
        <v>10.799999999999999</v>
      </c>
      <c r="AV24" s="85">
        <f t="shared" si="5"/>
        <v>72</v>
      </c>
      <c r="AW24">
        <f t="shared" si="0"/>
        <v>82.8</v>
      </c>
      <c r="AX24" s="86">
        <f t="shared" si="1"/>
        <v>0.25432549700113416</v>
      </c>
      <c r="AY24">
        <f t="shared" si="2"/>
        <v>9.585260504617632E-2</v>
      </c>
      <c r="AZ24"/>
    </row>
    <row r="25" spans="1:53" ht="14.5" customHeight="1">
      <c r="A25" s="14"/>
      <c r="B25" s="350"/>
      <c r="C25" s="351"/>
      <c r="D25" s="351"/>
      <c r="E25" s="351"/>
      <c r="F25" s="38" t="s">
        <v>48</v>
      </c>
      <c r="G25" s="39"/>
      <c r="H25" s="39"/>
      <c r="I25" s="40">
        <f>Holden!V19*J36</f>
        <v>0.88333446965573148</v>
      </c>
      <c r="J25" s="36"/>
      <c r="K25" s="36"/>
      <c r="L25" s="36"/>
      <c r="M25" s="36"/>
      <c r="N25" s="37"/>
      <c r="O25" s="36"/>
      <c r="P25" s="6"/>
      <c r="Q25" s="372" t="s">
        <v>235</v>
      </c>
      <c r="R25" s="84" t="s">
        <v>210</v>
      </c>
      <c r="S25" s="46">
        <f>W27/W23</f>
        <v>1.8401774396754156</v>
      </c>
      <c r="T25" s="22"/>
      <c r="U25" s="45" t="s">
        <v>32</v>
      </c>
      <c r="V25" s="45"/>
      <c r="W25" s="47">
        <f>T10*R36</f>
        <v>234.54515914281274</v>
      </c>
      <c r="X25" s="6"/>
      <c r="Y25" s="6"/>
      <c r="Z25" s="14"/>
      <c r="AA25" s="14"/>
      <c r="AB25" s="14"/>
      <c r="AC25" s="14"/>
      <c r="AD25" s="14"/>
      <c r="AE25" s="14"/>
      <c r="AF25" s="14"/>
      <c r="AG25" s="14"/>
      <c r="AH25" s="14"/>
      <c r="AI25" s="14"/>
      <c r="AJ25" s="14"/>
      <c r="AK25" s="14"/>
      <c r="AL25" s="14"/>
      <c r="AM25" s="14"/>
      <c r="AN25" s="14"/>
      <c r="AO25" s="14"/>
      <c r="AP25" s="14"/>
      <c r="AR25" t="str">
        <f t="shared" si="3"/>
        <v/>
      </c>
      <c r="AS25" s="85">
        <f t="shared" si="6"/>
        <v>0</v>
      </c>
      <c r="AT25" s="85"/>
      <c r="AU25" s="85">
        <f t="shared" si="4"/>
        <v>0</v>
      </c>
      <c r="AV25" s="85">
        <f t="shared" si="5"/>
        <v>0</v>
      </c>
      <c r="AW25">
        <f t="shared" si="0"/>
        <v>0</v>
      </c>
      <c r="AX25" s="86">
        <f t="shared" si="1"/>
        <v>0</v>
      </c>
      <c r="AY25">
        <f t="shared" si="2"/>
        <v>0</v>
      </c>
      <c r="AZ25"/>
    </row>
    <row r="26" spans="1:53" ht="12" customHeight="1" thickBot="1">
      <c r="A26" s="14"/>
      <c r="B26" s="315"/>
      <c r="C26" s="352"/>
      <c r="D26" s="352"/>
      <c r="E26" s="352"/>
      <c r="F26" s="15"/>
      <c r="G26" s="6"/>
      <c r="H26" s="6"/>
      <c r="I26" s="6"/>
      <c r="J26" s="6"/>
      <c r="K26" s="6"/>
      <c r="L26" s="6"/>
      <c r="M26" s="6"/>
      <c r="N26" s="12"/>
      <c r="O26" s="36"/>
      <c r="P26" s="6"/>
      <c r="Q26" s="373"/>
      <c r="R26" s="15"/>
      <c r="S26" s="6"/>
      <c r="T26" s="6"/>
      <c r="U26" s="45" t="s">
        <v>14</v>
      </c>
      <c r="V26" s="45"/>
      <c r="W26" s="47">
        <f>V19*R36</f>
        <v>10.48107072383398</v>
      </c>
      <c r="X26" s="14"/>
      <c r="Y26" s="14"/>
      <c r="Z26" s="14"/>
      <c r="AA26" s="14"/>
      <c r="AB26" s="14"/>
      <c r="AC26" s="14"/>
      <c r="AD26" s="14"/>
      <c r="AE26" s="14"/>
      <c r="AF26" s="14"/>
      <c r="AG26" s="14"/>
      <c r="AH26" s="14"/>
      <c r="AI26" s="14"/>
      <c r="AJ26" s="14"/>
      <c r="AK26" s="14"/>
      <c r="AL26" s="14"/>
      <c r="AM26" s="14"/>
      <c r="AN26" s="14"/>
      <c r="AO26" s="14"/>
      <c r="AP26" s="14"/>
      <c r="AR26" t="str">
        <f t="shared" si="3"/>
        <v/>
      </c>
      <c r="AS26" s="85">
        <f t="shared" si="6"/>
        <v>0</v>
      </c>
      <c r="AT26" s="85"/>
      <c r="AU26" s="85">
        <f t="shared" si="4"/>
        <v>0</v>
      </c>
      <c r="AV26" s="85">
        <f t="shared" si="5"/>
        <v>0</v>
      </c>
      <c r="AW26">
        <f t="shared" si="0"/>
        <v>0</v>
      </c>
      <c r="AX26" s="86">
        <f t="shared" si="1"/>
        <v>0</v>
      </c>
      <c r="AY26">
        <f t="shared" si="2"/>
        <v>0</v>
      </c>
      <c r="AZ26"/>
    </row>
    <row r="27" spans="1:53" ht="12.5" customHeight="1">
      <c r="A27" s="14"/>
      <c r="B27" s="14"/>
      <c r="C27" s="14"/>
      <c r="D27" s="14"/>
      <c r="E27" s="6"/>
      <c r="F27" s="41" t="s">
        <v>41</v>
      </c>
      <c r="G27" s="42">
        <f>I21/I24</f>
        <v>19.409720584483832</v>
      </c>
      <c r="H27" s="43" t="s">
        <v>42</v>
      </c>
      <c r="I27" s="39"/>
      <c r="J27" s="39"/>
      <c r="K27" s="39"/>
      <c r="L27" s="39"/>
      <c r="M27" s="39"/>
      <c r="N27" s="44"/>
      <c r="O27" s="36"/>
      <c r="P27" s="6"/>
      <c r="Q27" s="373"/>
      <c r="R27" s="15"/>
      <c r="S27" s="6"/>
      <c r="T27" s="6"/>
      <c r="U27" s="45" t="s">
        <v>210</v>
      </c>
      <c r="V27" s="45"/>
      <c r="W27" s="47">
        <f>T11*R36</f>
        <v>76.854478350320363</v>
      </c>
      <c r="X27" s="14"/>
      <c r="Y27" s="14"/>
      <c r="Z27" s="14"/>
      <c r="AA27" s="14"/>
      <c r="AB27" s="14"/>
      <c r="AC27" s="14"/>
      <c r="AD27" s="14"/>
      <c r="AE27" s="14"/>
      <c r="AF27" s="14"/>
      <c r="AG27" s="14"/>
      <c r="AH27" s="14"/>
      <c r="AI27" s="14"/>
      <c r="AJ27" s="14"/>
      <c r="AK27" s="14"/>
      <c r="AL27" s="14"/>
      <c r="AM27" s="14"/>
      <c r="AN27" s="14"/>
      <c r="AO27" s="14"/>
      <c r="AP27" s="14"/>
      <c r="AR27" t="str">
        <f t="shared" si="3"/>
        <v/>
      </c>
      <c r="AS27" s="85">
        <f t="shared" si="6"/>
        <v>0</v>
      </c>
      <c r="AT27" s="85"/>
      <c r="AU27" s="85">
        <f t="shared" si="4"/>
        <v>0</v>
      </c>
      <c r="AV27" s="85">
        <f t="shared" si="5"/>
        <v>0</v>
      </c>
      <c r="AW27">
        <f t="shared" si="0"/>
        <v>0</v>
      </c>
      <c r="AX27" s="86">
        <f t="shared" si="1"/>
        <v>0</v>
      </c>
      <c r="AY27">
        <f t="shared" si="2"/>
        <v>0</v>
      </c>
      <c r="AZ27" s="117"/>
      <c r="BA27" s="14"/>
    </row>
    <row r="28" spans="1:53" s="14" customFormat="1" ht="14.5" customHeight="1" thickBot="1">
      <c r="E28" s="6"/>
      <c r="F28" s="41" t="s">
        <v>43</v>
      </c>
      <c r="G28" s="42">
        <f>I22/I24</f>
        <v>22.377976957016088</v>
      </c>
      <c r="H28" s="43" t="s">
        <v>42</v>
      </c>
      <c r="I28" s="39"/>
      <c r="J28" s="39"/>
      <c r="K28" s="39"/>
      <c r="L28" s="39"/>
      <c r="M28" s="39"/>
      <c r="N28" s="44"/>
      <c r="O28" s="36"/>
      <c r="P28" s="6"/>
      <c r="Q28" s="374"/>
      <c r="R28" s="15"/>
      <c r="S28" s="6"/>
      <c r="T28" s="6"/>
      <c r="U28" s="6"/>
      <c r="V28" s="6"/>
      <c r="W28" s="12"/>
      <c r="AR28" t="str">
        <f t="shared" si="3"/>
        <v/>
      </c>
      <c r="AS28" s="85">
        <f t="shared" si="6"/>
        <v>0</v>
      </c>
      <c r="AT28" s="85"/>
      <c r="AU28" s="85">
        <f t="shared" si="4"/>
        <v>0</v>
      </c>
      <c r="AV28" s="85">
        <f t="shared" si="5"/>
        <v>0</v>
      </c>
      <c r="AW28">
        <f t="shared" si="0"/>
        <v>0</v>
      </c>
      <c r="AX28" s="86">
        <f t="shared" si="1"/>
        <v>0</v>
      </c>
      <c r="AY28">
        <f t="shared" si="2"/>
        <v>0</v>
      </c>
      <c r="AZ28"/>
      <c r="BA28" s="1"/>
    </row>
    <row r="29" spans="1:53" ht="13.75" customHeight="1">
      <c r="A29" s="14"/>
      <c r="B29" s="14"/>
      <c r="C29" s="14"/>
      <c r="D29" s="14"/>
      <c r="E29" s="6"/>
      <c r="F29" s="41" t="s">
        <v>228</v>
      </c>
      <c r="G29" s="42">
        <f>I23/I24</f>
        <v>7.3326934218231257</v>
      </c>
      <c r="H29" s="43" t="s">
        <v>42</v>
      </c>
      <c r="I29" s="39"/>
      <c r="J29" s="39"/>
      <c r="K29" s="39"/>
      <c r="L29" s="39"/>
      <c r="M29" s="39"/>
      <c r="N29" s="44"/>
      <c r="O29" s="36"/>
      <c r="P29" s="6"/>
      <c r="Q29" s="193"/>
      <c r="R29" s="375" t="s">
        <v>231</v>
      </c>
      <c r="S29" s="376"/>
      <c r="T29" s="376"/>
      <c r="U29" s="376"/>
      <c r="V29" s="376"/>
      <c r="W29" s="100">
        <f>W24-W23</f>
        <v>161.6699435053882</v>
      </c>
      <c r="X29" s="14"/>
      <c r="Y29" s="14"/>
      <c r="Z29" s="14"/>
      <c r="AA29" s="14"/>
      <c r="AB29" s="14"/>
      <c r="AC29" s="14"/>
      <c r="AD29" s="14"/>
      <c r="AE29" s="14"/>
      <c r="AF29" s="14"/>
      <c r="AG29" s="14"/>
      <c r="AH29" s="14"/>
      <c r="AI29" s="14"/>
      <c r="AJ29" s="14"/>
      <c r="AK29" s="14"/>
      <c r="AL29" s="14"/>
      <c r="AM29" s="14"/>
      <c r="AN29" s="14"/>
      <c r="AO29" s="14"/>
      <c r="AP29" s="14"/>
      <c r="AR29" t="str">
        <f t="shared" si="3"/>
        <v/>
      </c>
      <c r="AS29" s="85">
        <f t="shared" si="6"/>
        <v>0</v>
      </c>
      <c r="AT29" s="85"/>
      <c r="AU29" s="85">
        <f t="shared" si="4"/>
        <v>0</v>
      </c>
      <c r="AV29" s="85">
        <f t="shared" si="5"/>
        <v>0</v>
      </c>
      <c r="AW29">
        <f t="shared" si="0"/>
        <v>0</v>
      </c>
      <c r="AX29" s="86">
        <f t="shared" si="1"/>
        <v>0</v>
      </c>
      <c r="AY29">
        <f t="shared" si="2"/>
        <v>0</v>
      </c>
      <c r="AZ29"/>
    </row>
    <row r="30" spans="1:53" ht="13.25" customHeight="1">
      <c r="A30" s="14"/>
      <c r="B30" s="14"/>
      <c r="C30" s="14"/>
      <c r="D30" s="14"/>
      <c r="E30" s="6"/>
      <c r="F30" s="15"/>
      <c r="G30" s="6"/>
      <c r="H30" s="6"/>
      <c r="I30" s="6"/>
      <c r="J30" s="36"/>
      <c r="K30" s="36"/>
      <c r="L30" s="36"/>
      <c r="M30" s="36"/>
      <c r="N30" s="37"/>
      <c r="O30" s="36"/>
      <c r="P30" s="6"/>
      <c r="Q30" s="193"/>
      <c r="R30" s="375" t="s">
        <v>230</v>
      </c>
      <c r="S30" s="376"/>
      <c r="T30" s="376"/>
      <c r="U30" s="376"/>
      <c r="V30" s="376"/>
      <c r="W30" s="100">
        <f>W25-W23</f>
        <v>192.7804484723697</v>
      </c>
      <c r="X30" s="14"/>
      <c r="Y30" s="14"/>
      <c r="Z30" s="14"/>
      <c r="AA30" s="14"/>
      <c r="AB30" s="14"/>
      <c r="AC30" s="14"/>
      <c r="AD30" s="14"/>
      <c r="AE30" s="14"/>
      <c r="AF30" s="14"/>
      <c r="AG30" s="14"/>
      <c r="AH30" s="14"/>
      <c r="AI30" s="14"/>
      <c r="AJ30" s="14"/>
      <c r="AK30" s="14"/>
      <c r="AL30" s="14"/>
      <c r="AM30" s="14"/>
      <c r="AN30" s="14"/>
      <c r="AO30" s="14"/>
      <c r="AP30" s="14"/>
      <c r="AR30" t="str">
        <f t="shared" si="3"/>
        <v/>
      </c>
      <c r="AS30" s="85">
        <f t="shared" si="6"/>
        <v>0</v>
      </c>
      <c r="AT30" s="85"/>
      <c r="AU30" s="85">
        <f t="shared" si="4"/>
        <v>0</v>
      </c>
      <c r="AV30" s="85">
        <f t="shared" si="5"/>
        <v>0</v>
      </c>
      <c r="AW30">
        <f>IF(ISNUMBER(AR33),SUM(AT30:AU30),SUM(AT30:AV30))</f>
        <v>0</v>
      </c>
      <c r="AX30" s="86">
        <f t="shared" si="1"/>
        <v>0</v>
      </c>
      <c r="AY30">
        <f t="shared" si="2"/>
        <v>0</v>
      </c>
      <c r="AZ30"/>
    </row>
    <row r="31" spans="1:53" ht="13.25" customHeight="1" thickBot="1">
      <c r="A31" s="14"/>
      <c r="B31" s="14"/>
      <c r="C31" s="14"/>
      <c r="D31" s="14"/>
      <c r="E31" s="6"/>
      <c r="F31" s="368" t="s">
        <v>184</v>
      </c>
      <c r="G31" s="33" t="s">
        <v>33</v>
      </c>
      <c r="H31" s="34"/>
      <c r="I31" s="40">
        <f>1000/V14</f>
        <v>1937.0130334974185</v>
      </c>
      <c r="J31" s="36"/>
      <c r="K31" s="36"/>
      <c r="L31" s="36"/>
      <c r="M31" s="36"/>
      <c r="N31" s="37"/>
      <c r="O31" s="36"/>
      <c r="P31" s="6"/>
      <c r="Q31" s="194"/>
      <c r="R31" s="370" t="s">
        <v>229</v>
      </c>
      <c r="S31" s="371"/>
      <c r="T31" s="371"/>
      <c r="U31" s="371"/>
      <c r="V31" s="371"/>
      <c r="W31" s="101">
        <f>W27-W23</f>
        <v>35.089767679877333</v>
      </c>
      <c r="X31" s="14"/>
      <c r="Y31" s="14"/>
      <c r="Z31" s="14"/>
      <c r="AA31" s="14"/>
      <c r="AB31" s="14"/>
      <c r="AC31" s="14"/>
      <c r="AD31" s="14"/>
      <c r="AE31" s="14"/>
      <c r="AF31" s="14"/>
      <c r="AG31" s="14"/>
      <c r="AH31" s="14"/>
      <c r="AI31" s="14"/>
      <c r="AJ31" s="14"/>
      <c r="AK31" s="14"/>
      <c r="AL31" s="14"/>
      <c r="AM31" s="14"/>
      <c r="AN31" s="14"/>
      <c r="AO31" s="14"/>
      <c r="AP31" s="14"/>
      <c r="AR31"/>
      <c r="AS31" s="85"/>
      <c r="AT31" s="85"/>
      <c r="AU31" s="85"/>
      <c r="AV31" s="85"/>
      <c r="AW31"/>
      <c r="AX31" s="86"/>
      <c r="AY31"/>
      <c r="AZ31"/>
    </row>
    <row r="32" spans="1:53" ht="13.25" customHeight="1">
      <c r="A32" s="14"/>
      <c r="B32" s="14"/>
      <c r="C32" s="14"/>
      <c r="D32" s="14"/>
      <c r="E32" s="6"/>
      <c r="F32" s="368"/>
      <c r="G32" s="33" t="s">
        <v>32</v>
      </c>
      <c r="H32" s="34"/>
      <c r="I32" s="40">
        <f>1000/V15</f>
        <v>1677.5594041335144</v>
      </c>
      <c r="J32" s="36"/>
      <c r="K32" s="36"/>
      <c r="L32" s="36"/>
      <c r="M32" s="36"/>
      <c r="N32" s="37"/>
      <c r="O32" s="36"/>
      <c r="P32" s="6"/>
      <c r="Q32" s="114"/>
      <c r="R32" s="115"/>
      <c r="S32" s="115"/>
      <c r="T32" s="115"/>
      <c r="U32" s="115"/>
      <c r="V32" s="115"/>
      <c r="W32" s="116"/>
      <c r="X32" s="14"/>
      <c r="Y32" s="14"/>
      <c r="Z32" s="14"/>
      <c r="AA32" s="14"/>
      <c r="AB32" s="14"/>
      <c r="AC32" s="14"/>
      <c r="AD32" s="14"/>
      <c r="AE32" s="14"/>
      <c r="AF32" s="14"/>
      <c r="AG32" s="14"/>
      <c r="AH32" s="14"/>
      <c r="AI32" s="14"/>
      <c r="AJ32" s="14"/>
      <c r="AK32" s="14"/>
      <c r="AL32" s="14"/>
      <c r="AM32" s="14"/>
      <c r="AN32" s="14"/>
      <c r="AO32" s="14"/>
      <c r="AP32" s="14"/>
      <c r="AR32"/>
      <c r="AS32" s="85"/>
      <c r="AT32" s="85"/>
      <c r="AU32" s="85"/>
      <c r="AV32" s="85"/>
      <c r="AW32"/>
      <c r="AX32" s="86"/>
      <c r="AY32"/>
      <c r="AZ32"/>
    </row>
    <row r="33" spans="1:52" ht="13.75" customHeight="1" thickBot="1">
      <c r="A33" s="14"/>
      <c r="B33" s="14"/>
      <c r="C33" s="14"/>
      <c r="D33" s="14"/>
      <c r="E33" s="14"/>
      <c r="F33" s="369"/>
      <c r="G33" s="118" t="s">
        <v>210</v>
      </c>
      <c r="H33" s="119"/>
      <c r="I33" s="120">
        <f>1000/V16</f>
        <v>5147.0166996075732</v>
      </c>
      <c r="J33" s="7"/>
      <c r="K33" s="7"/>
      <c r="L33" s="7"/>
      <c r="M33" s="7"/>
      <c r="N33" s="182"/>
      <c r="O33" s="14"/>
      <c r="P33" s="14"/>
      <c r="Q33" s="114"/>
      <c r="R33" s="115"/>
      <c r="S33" s="115"/>
      <c r="T33" s="115"/>
      <c r="U33" s="115"/>
      <c r="V33" s="115"/>
      <c r="W33" s="116"/>
      <c r="X33" s="14"/>
      <c r="Y33" s="14"/>
      <c r="Z33" s="14"/>
      <c r="AA33" s="14"/>
      <c r="AB33" s="14"/>
      <c r="AC33" s="14"/>
      <c r="AD33" s="14"/>
      <c r="AE33" s="14"/>
      <c r="AF33" s="14"/>
      <c r="AG33" s="14"/>
      <c r="AH33" s="14"/>
      <c r="AI33" s="14"/>
      <c r="AJ33" s="14"/>
      <c r="AK33" s="14"/>
      <c r="AL33" s="14"/>
      <c r="AM33" s="14"/>
      <c r="AN33" s="14"/>
      <c r="AO33" s="14"/>
      <c r="AP33" s="14"/>
      <c r="AR33" t="str">
        <f>IF(AR30&lt;$D$14,AR30+1,"")</f>
        <v/>
      </c>
      <c r="AS33" s="85">
        <f>IF(ISNUMBER(AR33),AV30,0)</f>
        <v>0</v>
      </c>
      <c r="AT33" s="85"/>
      <c r="AU33" s="85">
        <f t="shared" ref="AU33:AU64" si="7">$D$10*AS33</f>
        <v>0</v>
      </c>
      <c r="AV33" s="85">
        <f t="shared" ref="AV33:AV64" si="8">AS33</f>
        <v>0</v>
      </c>
      <c r="AW33">
        <f t="shared" ref="AW33:AW64" si="9">IF(ISNUMBER(AR34),SUM(AT33:AU33),SUM(AT33:AV33))</f>
        <v>0</v>
      </c>
      <c r="AX33" s="86">
        <f t="shared" ref="AX33:AX64" si="10">LN(AW33+$J$36)-LN($J$36)</f>
        <v>0</v>
      </c>
      <c r="AY33">
        <f t="shared" ref="AY33:AY64" si="11">IF(ISNUMBER(AR33),AX33/(1+$D$7)^AR33,0)</f>
        <v>0</v>
      </c>
    </row>
    <row r="34" spans="1:52" ht="51" customHeight="1" thickBot="1">
      <c r="B34" s="14"/>
      <c r="C34" s="14"/>
      <c r="D34" s="14"/>
      <c r="E34" s="14"/>
      <c r="F34" s="14"/>
      <c r="G34" s="14"/>
      <c r="H34" s="14"/>
      <c r="I34" s="14"/>
      <c r="J34" s="14"/>
      <c r="K34" s="14"/>
      <c r="L34" s="14"/>
      <c r="M34" s="14"/>
      <c r="N34" s="14"/>
      <c r="O34" s="14"/>
      <c r="P34" s="14"/>
      <c r="Q34" s="114"/>
      <c r="R34" s="115"/>
      <c r="S34" s="115"/>
      <c r="T34" s="115"/>
      <c r="U34" s="115"/>
      <c r="V34" s="115"/>
      <c r="W34" s="116"/>
      <c r="X34" s="14"/>
      <c r="Y34" s="14"/>
      <c r="Z34" s="14"/>
      <c r="AA34" s="14"/>
      <c r="AB34" s="14"/>
      <c r="AC34" s="14"/>
      <c r="AD34" s="14"/>
      <c r="AE34" s="14"/>
      <c r="AF34" s="14"/>
      <c r="AG34" s="14"/>
      <c r="AH34" s="14"/>
      <c r="AI34" s="14"/>
      <c r="AJ34" s="14"/>
      <c r="AK34" s="14"/>
      <c r="AL34" s="14"/>
      <c r="AM34" s="14"/>
      <c r="AQ34"/>
      <c r="AR34" t="str">
        <f t="shared" ref="AR34:AR65" si="12">IF(AR33&lt;$D$14,AR33+1,"")</f>
        <v/>
      </c>
      <c r="AS34" s="85">
        <f t="shared" ref="AS34:AS65" si="13">IF(ISNUMBER(AR34),AV33,0)</f>
        <v>0</v>
      </c>
      <c r="AT34" s="85"/>
      <c r="AU34" s="85">
        <f t="shared" si="7"/>
        <v>0</v>
      </c>
      <c r="AV34" s="85">
        <f t="shared" si="8"/>
        <v>0</v>
      </c>
      <c r="AW34">
        <f t="shared" si="9"/>
        <v>0</v>
      </c>
      <c r="AX34" s="86">
        <f t="shared" si="10"/>
        <v>0</v>
      </c>
      <c r="AY34">
        <f t="shared" si="11"/>
        <v>0</v>
      </c>
    </row>
    <row r="35" spans="1:52" ht="31.25" customHeight="1">
      <c r="A35" s="14"/>
      <c r="B35" s="327" t="s">
        <v>29</v>
      </c>
      <c r="C35" s="16"/>
      <c r="D35" s="330" t="s">
        <v>24</v>
      </c>
      <c r="E35" s="331"/>
      <c r="F35" s="332"/>
      <c r="G35" s="18" t="s">
        <v>16</v>
      </c>
      <c r="H35" s="341" t="s">
        <v>27</v>
      </c>
      <c r="I35" s="342"/>
      <c r="J35" s="330" t="s">
        <v>26</v>
      </c>
      <c r="K35" s="331"/>
      <c r="L35" s="331"/>
      <c r="M35" s="331"/>
      <c r="N35" s="332"/>
      <c r="O35" s="330" t="s">
        <v>17</v>
      </c>
      <c r="P35" s="332"/>
      <c r="Q35" s="252" t="s">
        <v>18</v>
      </c>
      <c r="R35" s="103" t="s">
        <v>178</v>
      </c>
      <c r="S35" s="213" t="s">
        <v>25</v>
      </c>
      <c r="T35" s="214"/>
      <c r="U35" s="103" t="s">
        <v>172</v>
      </c>
      <c r="V35" s="103" t="s">
        <v>222</v>
      </c>
      <c r="W35" s="111" t="s">
        <v>225</v>
      </c>
      <c r="X35" s="14"/>
      <c r="Y35" s="14"/>
      <c r="Z35" s="14"/>
      <c r="AA35" s="14"/>
      <c r="AB35" s="14"/>
      <c r="AC35" s="14"/>
      <c r="AD35" s="14"/>
      <c r="AE35" s="14"/>
      <c r="AF35" s="14"/>
      <c r="AG35" s="14"/>
      <c r="AH35" s="14"/>
      <c r="AI35" s="14"/>
      <c r="AJ35" s="14"/>
      <c r="AK35" s="14"/>
      <c r="AL35" s="14"/>
      <c r="AM35" s="14"/>
      <c r="AQ35"/>
      <c r="AR35" t="str">
        <f t="shared" si="12"/>
        <v/>
      </c>
      <c r="AS35" s="85">
        <f t="shared" si="13"/>
        <v>0</v>
      </c>
      <c r="AT35" s="85"/>
      <c r="AU35" s="85">
        <f t="shared" si="7"/>
        <v>0</v>
      </c>
      <c r="AV35" s="85">
        <f t="shared" si="8"/>
        <v>0</v>
      </c>
      <c r="AW35">
        <f t="shared" si="9"/>
        <v>0</v>
      </c>
      <c r="AX35" s="86">
        <f t="shared" si="10"/>
        <v>0</v>
      </c>
      <c r="AY35">
        <f t="shared" si="11"/>
        <v>0</v>
      </c>
      <c r="AZ35"/>
    </row>
    <row r="36" spans="1:52" ht="12" customHeight="1">
      <c r="A36" s="14"/>
      <c r="B36" s="328"/>
      <c r="C36" s="19" t="s">
        <v>20</v>
      </c>
      <c r="D36" s="333">
        <v>0.253</v>
      </c>
      <c r="E36" s="334"/>
      <c r="F36" s="335"/>
      <c r="G36" s="26">
        <v>2.41</v>
      </c>
      <c r="H36" s="336">
        <v>4.7</v>
      </c>
      <c r="I36" s="337"/>
      <c r="J36" s="338">
        <v>285.92</v>
      </c>
      <c r="K36" s="339"/>
      <c r="L36" s="339"/>
      <c r="M36" s="339"/>
      <c r="N36" s="340"/>
      <c r="O36" s="385">
        <v>1000</v>
      </c>
      <c r="P36" s="386"/>
      <c r="Q36" s="102">
        <v>288</v>
      </c>
      <c r="R36" s="104">
        <v>3392.5402486858193</v>
      </c>
      <c r="S36" s="204">
        <v>6.4207853680072704</v>
      </c>
      <c r="T36" s="253"/>
      <c r="U36" s="185">
        <f>AVERAGE(36.46,36.59)</f>
        <v>36.525000000000006</v>
      </c>
      <c r="V36" s="185">
        <v>15</v>
      </c>
      <c r="W36" s="173">
        <v>0.43099999999999999</v>
      </c>
      <c r="X36" s="14"/>
      <c r="Y36" s="6"/>
      <c r="Z36" s="14"/>
      <c r="AA36" s="14"/>
      <c r="AB36" s="14"/>
      <c r="AC36" s="14"/>
      <c r="AD36" s="14"/>
      <c r="AE36" s="14"/>
      <c r="AF36" s="14"/>
      <c r="AG36" s="14"/>
      <c r="AH36" s="14"/>
      <c r="AI36" s="14"/>
      <c r="AJ36" s="14"/>
      <c r="AK36" s="14"/>
      <c r="AL36" s="14"/>
      <c r="AM36" s="14"/>
      <c r="AN36" s="14"/>
      <c r="AR36" t="str">
        <f t="shared" si="12"/>
        <v/>
      </c>
      <c r="AS36" s="85">
        <f t="shared" si="13"/>
        <v>0</v>
      </c>
      <c r="AT36" s="85"/>
      <c r="AU36" s="85">
        <f t="shared" si="7"/>
        <v>0</v>
      </c>
      <c r="AV36" s="85">
        <f t="shared" si="8"/>
        <v>0</v>
      </c>
      <c r="AW36">
        <f t="shared" si="9"/>
        <v>0</v>
      </c>
      <c r="AX36" s="86">
        <f t="shared" si="10"/>
        <v>0</v>
      </c>
      <c r="AY36">
        <f t="shared" si="11"/>
        <v>0</v>
      </c>
      <c r="AZ36"/>
    </row>
    <row r="37" spans="1:52" ht="12" customHeight="1" thickBot="1">
      <c r="A37" s="14"/>
      <c r="B37" s="329"/>
      <c r="C37" s="20" t="s">
        <v>21</v>
      </c>
      <c r="D37" s="394" t="s">
        <v>22</v>
      </c>
      <c r="E37" s="394"/>
      <c r="F37" s="394"/>
      <c r="G37" s="393" t="s">
        <v>23</v>
      </c>
      <c r="H37" s="393"/>
      <c r="I37" s="393"/>
      <c r="J37" s="393"/>
      <c r="K37" s="393"/>
      <c r="L37" s="393"/>
      <c r="M37" s="393"/>
      <c r="N37" s="393"/>
      <c r="O37" s="393"/>
      <c r="P37" s="393"/>
      <c r="Q37" s="393"/>
      <c r="R37" s="364" t="s">
        <v>140</v>
      </c>
      <c r="S37" s="365"/>
      <c r="T37" s="366"/>
      <c r="U37" s="186" t="s">
        <v>185</v>
      </c>
      <c r="V37" s="187" t="s">
        <v>223</v>
      </c>
      <c r="W37" s="188" t="s">
        <v>307</v>
      </c>
      <c r="X37" s="14"/>
      <c r="Y37" s="6"/>
      <c r="Z37" s="14"/>
      <c r="AA37" s="14"/>
      <c r="AB37" s="14"/>
      <c r="AC37" s="14"/>
      <c r="AD37" s="14"/>
      <c r="AE37" s="14"/>
      <c r="AF37" s="14"/>
      <c r="AG37" s="14"/>
      <c r="AH37" s="14"/>
      <c r="AI37" s="14"/>
      <c r="AJ37" s="14"/>
      <c r="AK37" s="14"/>
      <c r="AL37" s="14"/>
      <c r="AM37" s="14"/>
      <c r="AN37" s="14"/>
      <c r="AO37" s="14"/>
      <c r="AP37" s="14"/>
      <c r="AR37" t="str">
        <f t="shared" si="12"/>
        <v/>
      </c>
      <c r="AS37" s="85">
        <f t="shared" si="13"/>
        <v>0</v>
      </c>
      <c r="AT37" s="85"/>
      <c r="AU37" s="85">
        <f t="shared" si="7"/>
        <v>0</v>
      </c>
      <c r="AV37" s="85">
        <f t="shared" si="8"/>
        <v>0</v>
      </c>
      <c r="AW37">
        <f t="shared" si="9"/>
        <v>0</v>
      </c>
      <c r="AX37" s="86">
        <f t="shared" si="10"/>
        <v>0</v>
      </c>
      <c r="AY37">
        <f t="shared" si="11"/>
        <v>0</v>
      </c>
      <c r="AZ37"/>
    </row>
    <row r="38" spans="1:52" s="14" customFormat="1" ht="14">
      <c r="J38" s="148"/>
      <c r="K38" s="148"/>
      <c r="L38" s="148"/>
      <c r="M38" s="148"/>
      <c r="Y38" s="6"/>
      <c r="AR38" s="117" t="str">
        <f t="shared" si="12"/>
        <v/>
      </c>
      <c r="AS38" s="183">
        <f t="shared" si="13"/>
        <v>0</v>
      </c>
      <c r="AT38" s="183"/>
      <c r="AU38" s="183">
        <f t="shared" si="7"/>
        <v>0</v>
      </c>
      <c r="AV38" s="183">
        <f t="shared" si="8"/>
        <v>0</v>
      </c>
      <c r="AW38" s="117">
        <f t="shared" si="9"/>
        <v>0</v>
      </c>
      <c r="AX38" s="184">
        <f t="shared" si="10"/>
        <v>0</v>
      </c>
      <c r="AY38" s="117">
        <f t="shared" si="11"/>
        <v>0</v>
      </c>
      <c r="AZ38" s="117"/>
    </row>
    <row r="39" spans="1:52" s="14" customFormat="1" ht="14">
      <c r="AR39" s="117" t="str">
        <f t="shared" si="12"/>
        <v/>
      </c>
      <c r="AS39" s="183">
        <f t="shared" si="13"/>
        <v>0</v>
      </c>
      <c r="AT39" s="183"/>
      <c r="AU39" s="183">
        <f t="shared" si="7"/>
        <v>0</v>
      </c>
      <c r="AV39" s="183">
        <f t="shared" si="8"/>
        <v>0</v>
      </c>
      <c r="AW39" s="117">
        <f t="shared" si="9"/>
        <v>0</v>
      </c>
      <c r="AX39" s="184">
        <f t="shared" si="10"/>
        <v>0</v>
      </c>
      <c r="AY39" s="117">
        <f t="shared" si="11"/>
        <v>0</v>
      </c>
      <c r="AZ39" s="117"/>
    </row>
    <row r="40" spans="1:52" s="14" customFormat="1" ht="14">
      <c r="AR40" s="117" t="str">
        <f t="shared" si="12"/>
        <v/>
      </c>
      <c r="AS40" s="183">
        <f t="shared" si="13"/>
        <v>0</v>
      </c>
      <c r="AT40" s="183"/>
      <c r="AU40" s="183">
        <f t="shared" si="7"/>
        <v>0</v>
      </c>
      <c r="AV40" s="183">
        <f t="shared" si="8"/>
        <v>0</v>
      </c>
      <c r="AW40" s="117">
        <f t="shared" si="9"/>
        <v>0</v>
      </c>
      <c r="AX40" s="184">
        <f t="shared" si="10"/>
        <v>0</v>
      </c>
      <c r="AY40" s="117">
        <f t="shared" si="11"/>
        <v>0</v>
      </c>
      <c r="AZ40" s="117"/>
    </row>
    <row r="41" spans="1:52" s="14" customFormat="1" ht="14">
      <c r="AR41" s="117" t="str">
        <f t="shared" si="12"/>
        <v/>
      </c>
      <c r="AS41" s="183">
        <f t="shared" si="13"/>
        <v>0</v>
      </c>
      <c r="AT41" s="183"/>
      <c r="AU41" s="183">
        <f t="shared" si="7"/>
        <v>0</v>
      </c>
      <c r="AV41" s="183">
        <f t="shared" si="8"/>
        <v>0</v>
      </c>
      <c r="AW41" s="117">
        <f t="shared" si="9"/>
        <v>0</v>
      </c>
      <c r="AX41" s="184">
        <f t="shared" si="10"/>
        <v>0</v>
      </c>
      <c r="AY41" s="117">
        <f t="shared" si="11"/>
        <v>0</v>
      </c>
      <c r="AZ41" s="117"/>
    </row>
    <row r="42" spans="1:52" s="14" customFormat="1" ht="14">
      <c r="AR42" s="117" t="str">
        <f t="shared" si="12"/>
        <v/>
      </c>
      <c r="AS42" s="183">
        <f t="shared" si="13"/>
        <v>0</v>
      </c>
      <c r="AT42" s="183"/>
      <c r="AU42" s="183">
        <f t="shared" si="7"/>
        <v>0</v>
      </c>
      <c r="AV42" s="183">
        <f t="shared" si="8"/>
        <v>0</v>
      </c>
      <c r="AW42" s="117">
        <f t="shared" si="9"/>
        <v>0</v>
      </c>
      <c r="AX42" s="184">
        <f t="shared" si="10"/>
        <v>0</v>
      </c>
      <c r="AY42" s="117">
        <f t="shared" si="11"/>
        <v>0</v>
      </c>
      <c r="AZ42" s="117"/>
    </row>
    <row r="43" spans="1:52" s="14" customFormat="1" ht="14">
      <c r="AR43" s="117" t="str">
        <f t="shared" si="12"/>
        <v/>
      </c>
      <c r="AS43" s="183">
        <f t="shared" si="13"/>
        <v>0</v>
      </c>
      <c r="AT43" s="183"/>
      <c r="AU43" s="183">
        <f t="shared" si="7"/>
        <v>0</v>
      </c>
      <c r="AV43" s="183">
        <f t="shared" si="8"/>
        <v>0</v>
      </c>
      <c r="AW43" s="117">
        <f t="shared" si="9"/>
        <v>0</v>
      </c>
      <c r="AX43" s="184">
        <f t="shared" si="10"/>
        <v>0</v>
      </c>
      <c r="AY43" s="117">
        <f t="shared" si="11"/>
        <v>0</v>
      </c>
      <c r="AZ43" s="117"/>
    </row>
    <row r="44" spans="1:52" s="14" customFormat="1" ht="14">
      <c r="AR44" s="117" t="str">
        <f t="shared" si="12"/>
        <v/>
      </c>
      <c r="AS44" s="183">
        <f t="shared" si="13"/>
        <v>0</v>
      </c>
      <c r="AT44" s="183"/>
      <c r="AU44" s="183">
        <f t="shared" si="7"/>
        <v>0</v>
      </c>
      <c r="AV44" s="183">
        <f t="shared" si="8"/>
        <v>0</v>
      </c>
      <c r="AW44" s="117">
        <f t="shared" si="9"/>
        <v>0</v>
      </c>
      <c r="AX44" s="184">
        <f t="shared" si="10"/>
        <v>0</v>
      </c>
      <c r="AY44" s="117">
        <f t="shared" si="11"/>
        <v>0</v>
      </c>
      <c r="AZ44" s="117"/>
    </row>
    <row r="45" spans="1:52" s="14" customFormat="1" ht="14">
      <c r="AR45" s="117" t="str">
        <f t="shared" si="12"/>
        <v/>
      </c>
      <c r="AS45" s="183">
        <f t="shared" si="13"/>
        <v>0</v>
      </c>
      <c r="AT45" s="183"/>
      <c r="AU45" s="183">
        <f t="shared" si="7"/>
        <v>0</v>
      </c>
      <c r="AV45" s="183">
        <f t="shared" si="8"/>
        <v>0</v>
      </c>
      <c r="AW45" s="117">
        <f t="shared" si="9"/>
        <v>0</v>
      </c>
      <c r="AX45" s="184">
        <f t="shared" si="10"/>
        <v>0</v>
      </c>
      <c r="AY45" s="117">
        <f t="shared" si="11"/>
        <v>0</v>
      </c>
      <c r="AZ45" s="117"/>
    </row>
    <row r="46" spans="1:52" s="14" customFormat="1" ht="14">
      <c r="AR46" s="117" t="str">
        <f t="shared" si="12"/>
        <v/>
      </c>
      <c r="AS46" s="183">
        <f t="shared" si="13"/>
        <v>0</v>
      </c>
      <c r="AT46" s="183"/>
      <c r="AU46" s="183">
        <f t="shared" si="7"/>
        <v>0</v>
      </c>
      <c r="AV46" s="183">
        <f t="shared" si="8"/>
        <v>0</v>
      </c>
      <c r="AW46" s="117">
        <f t="shared" si="9"/>
        <v>0</v>
      </c>
      <c r="AX46" s="184">
        <f t="shared" si="10"/>
        <v>0</v>
      </c>
      <c r="AY46" s="117">
        <f t="shared" si="11"/>
        <v>0</v>
      </c>
      <c r="AZ46" s="117"/>
    </row>
    <row r="47" spans="1:52" s="14" customFormat="1" ht="14">
      <c r="AR47" s="117" t="str">
        <f t="shared" si="12"/>
        <v/>
      </c>
      <c r="AS47" s="183">
        <f t="shared" si="13"/>
        <v>0</v>
      </c>
      <c r="AT47" s="183"/>
      <c r="AU47" s="183">
        <f t="shared" si="7"/>
        <v>0</v>
      </c>
      <c r="AV47" s="183">
        <f t="shared" si="8"/>
        <v>0</v>
      </c>
      <c r="AW47" s="117">
        <f t="shared" si="9"/>
        <v>0</v>
      </c>
      <c r="AX47" s="184">
        <f t="shared" si="10"/>
        <v>0</v>
      </c>
      <c r="AY47" s="117">
        <f t="shared" si="11"/>
        <v>0</v>
      </c>
      <c r="AZ47" s="117"/>
    </row>
    <row r="48" spans="1:52" s="14" customFormat="1" ht="14">
      <c r="AR48" s="117" t="str">
        <f t="shared" si="12"/>
        <v/>
      </c>
      <c r="AS48" s="183">
        <f t="shared" si="13"/>
        <v>0</v>
      </c>
      <c r="AT48" s="183"/>
      <c r="AU48" s="183">
        <f t="shared" si="7"/>
        <v>0</v>
      </c>
      <c r="AV48" s="183">
        <f t="shared" si="8"/>
        <v>0</v>
      </c>
      <c r="AW48" s="117">
        <f t="shared" si="9"/>
        <v>0</v>
      </c>
      <c r="AX48" s="184">
        <f t="shared" si="10"/>
        <v>0</v>
      </c>
      <c r="AY48" s="117">
        <f t="shared" si="11"/>
        <v>0</v>
      </c>
      <c r="AZ48" s="117"/>
    </row>
    <row r="49" spans="44:52" s="14" customFormat="1" ht="14">
      <c r="AR49" s="117" t="str">
        <f t="shared" si="12"/>
        <v/>
      </c>
      <c r="AS49" s="183">
        <f t="shared" si="13"/>
        <v>0</v>
      </c>
      <c r="AT49" s="183"/>
      <c r="AU49" s="183">
        <f t="shared" si="7"/>
        <v>0</v>
      </c>
      <c r="AV49" s="183">
        <f t="shared" si="8"/>
        <v>0</v>
      </c>
      <c r="AW49" s="117">
        <f t="shared" si="9"/>
        <v>0</v>
      </c>
      <c r="AX49" s="184">
        <f t="shared" si="10"/>
        <v>0</v>
      </c>
      <c r="AY49" s="117">
        <f t="shared" si="11"/>
        <v>0</v>
      </c>
      <c r="AZ49" s="117"/>
    </row>
    <row r="50" spans="44:52" s="14" customFormat="1" ht="14">
      <c r="AR50" s="117" t="str">
        <f t="shared" si="12"/>
        <v/>
      </c>
      <c r="AS50" s="183">
        <f t="shared" si="13"/>
        <v>0</v>
      </c>
      <c r="AT50" s="183"/>
      <c r="AU50" s="183">
        <f t="shared" si="7"/>
        <v>0</v>
      </c>
      <c r="AV50" s="183">
        <f t="shared" si="8"/>
        <v>0</v>
      </c>
      <c r="AW50" s="117">
        <f t="shared" si="9"/>
        <v>0</v>
      </c>
      <c r="AX50" s="184">
        <f t="shared" si="10"/>
        <v>0</v>
      </c>
      <c r="AY50" s="117">
        <f t="shared" si="11"/>
        <v>0</v>
      </c>
      <c r="AZ50" s="117"/>
    </row>
    <row r="51" spans="44:52" s="14" customFormat="1" ht="14">
      <c r="AR51" s="117" t="str">
        <f t="shared" si="12"/>
        <v/>
      </c>
      <c r="AS51" s="183">
        <f t="shared" si="13"/>
        <v>0</v>
      </c>
      <c r="AT51" s="183"/>
      <c r="AU51" s="183">
        <f t="shared" si="7"/>
        <v>0</v>
      </c>
      <c r="AV51" s="183">
        <f t="shared" si="8"/>
        <v>0</v>
      </c>
      <c r="AW51" s="117">
        <f t="shared" si="9"/>
        <v>0</v>
      </c>
      <c r="AX51" s="184">
        <f t="shared" si="10"/>
        <v>0</v>
      </c>
      <c r="AY51" s="117">
        <f t="shared" si="11"/>
        <v>0</v>
      </c>
      <c r="AZ51" s="117"/>
    </row>
    <row r="52" spans="44:52" s="14" customFormat="1" ht="14">
      <c r="AR52" s="117" t="str">
        <f t="shared" si="12"/>
        <v/>
      </c>
      <c r="AS52" s="183">
        <f t="shared" si="13"/>
        <v>0</v>
      </c>
      <c r="AT52" s="183"/>
      <c r="AU52" s="183">
        <f t="shared" si="7"/>
        <v>0</v>
      </c>
      <c r="AV52" s="183">
        <f t="shared" si="8"/>
        <v>0</v>
      </c>
      <c r="AW52" s="117">
        <f t="shared" si="9"/>
        <v>0</v>
      </c>
      <c r="AX52" s="184">
        <f t="shared" si="10"/>
        <v>0</v>
      </c>
      <c r="AY52" s="117">
        <f t="shared" si="11"/>
        <v>0</v>
      </c>
      <c r="AZ52" s="117"/>
    </row>
    <row r="53" spans="44:52" s="14" customFormat="1" ht="14">
      <c r="AR53" s="117" t="str">
        <f t="shared" si="12"/>
        <v/>
      </c>
      <c r="AS53" s="183">
        <f t="shared" si="13"/>
        <v>0</v>
      </c>
      <c r="AT53" s="183"/>
      <c r="AU53" s="183">
        <f t="shared" si="7"/>
        <v>0</v>
      </c>
      <c r="AV53" s="183">
        <f t="shared" si="8"/>
        <v>0</v>
      </c>
      <c r="AW53" s="117">
        <f t="shared" si="9"/>
        <v>0</v>
      </c>
      <c r="AX53" s="184">
        <f t="shared" si="10"/>
        <v>0</v>
      </c>
      <c r="AY53" s="117">
        <f t="shared" si="11"/>
        <v>0</v>
      </c>
      <c r="AZ53" s="117"/>
    </row>
    <row r="54" spans="44:52" s="14" customFormat="1" ht="14">
      <c r="AR54" s="117" t="str">
        <f t="shared" si="12"/>
        <v/>
      </c>
      <c r="AS54" s="183">
        <f t="shared" si="13"/>
        <v>0</v>
      </c>
      <c r="AT54" s="183"/>
      <c r="AU54" s="183">
        <f t="shared" si="7"/>
        <v>0</v>
      </c>
      <c r="AV54" s="183">
        <f t="shared" si="8"/>
        <v>0</v>
      </c>
      <c r="AW54" s="117">
        <f t="shared" si="9"/>
        <v>0</v>
      </c>
      <c r="AX54" s="184">
        <f t="shared" si="10"/>
        <v>0</v>
      </c>
      <c r="AY54" s="117">
        <f t="shared" si="11"/>
        <v>0</v>
      </c>
      <c r="AZ54" s="117"/>
    </row>
    <row r="55" spans="44:52" s="14" customFormat="1" ht="14">
      <c r="AR55" s="117" t="str">
        <f t="shared" si="12"/>
        <v/>
      </c>
      <c r="AS55" s="183">
        <f t="shared" si="13"/>
        <v>0</v>
      </c>
      <c r="AT55" s="183"/>
      <c r="AU55" s="183">
        <f t="shared" si="7"/>
        <v>0</v>
      </c>
      <c r="AV55" s="183">
        <f t="shared" si="8"/>
        <v>0</v>
      </c>
      <c r="AW55" s="117">
        <f t="shared" si="9"/>
        <v>0</v>
      </c>
      <c r="AX55" s="184">
        <f t="shared" si="10"/>
        <v>0</v>
      </c>
      <c r="AY55" s="117">
        <f t="shared" si="11"/>
        <v>0</v>
      </c>
      <c r="AZ55" s="117"/>
    </row>
    <row r="56" spans="44:52" s="14" customFormat="1" ht="14">
      <c r="AR56" s="117" t="str">
        <f t="shared" si="12"/>
        <v/>
      </c>
      <c r="AS56" s="183">
        <f t="shared" si="13"/>
        <v>0</v>
      </c>
      <c r="AT56" s="183"/>
      <c r="AU56" s="183">
        <f t="shared" si="7"/>
        <v>0</v>
      </c>
      <c r="AV56" s="183">
        <f t="shared" si="8"/>
        <v>0</v>
      </c>
      <c r="AW56" s="117">
        <f t="shared" si="9"/>
        <v>0</v>
      </c>
      <c r="AX56" s="184">
        <f t="shared" si="10"/>
        <v>0</v>
      </c>
      <c r="AY56" s="117">
        <f t="shared" si="11"/>
        <v>0</v>
      </c>
      <c r="AZ56" s="117"/>
    </row>
    <row r="57" spans="44:52" s="14" customFormat="1" ht="14">
      <c r="AR57" s="117" t="str">
        <f t="shared" si="12"/>
        <v/>
      </c>
      <c r="AS57" s="183">
        <f t="shared" si="13"/>
        <v>0</v>
      </c>
      <c r="AT57" s="183"/>
      <c r="AU57" s="183">
        <f t="shared" si="7"/>
        <v>0</v>
      </c>
      <c r="AV57" s="183">
        <f t="shared" si="8"/>
        <v>0</v>
      </c>
      <c r="AW57" s="117">
        <f t="shared" si="9"/>
        <v>0</v>
      </c>
      <c r="AX57" s="184">
        <f t="shared" si="10"/>
        <v>0</v>
      </c>
      <c r="AY57" s="117">
        <f t="shared" si="11"/>
        <v>0</v>
      </c>
      <c r="AZ57" s="117"/>
    </row>
    <row r="58" spans="44:52" s="14" customFormat="1" ht="14">
      <c r="AR58" s="117" t="str">
        <f t="shared" si="12"/>
        <v/>
      </c>
      <c r="AS58" s="183">
        <f t="shared" si="13"/>
        <v>0</v>
      </c>
      <c r="AT58" s="183"/>
      <c r="AU58" s="183">
        <f t="shared" si="7"/>
        <v>0</v>
      </c>
      <c r="AV58" s="183">
        <f t="shared" si="8"/>
        <v>0</v>
      </c>
      <c r="AW58" s="117">
        <f t="shared" si="9"/>
        <v>0</v>
      </c>
      <c r="AX58" s="184">
        <f t="shared" si="10"/>
        <v>0</v>
      </c>
      <c r="AY58" s="117">
        <f t="shared" si="11"/>
        <v>0</v>
      </c>
      <c r="AZ58" s="117"/>
    </row>
    <row r="59" spans="44:52" s="14" customFormat="1" ht="14">
      <c r="AR59" s="117" t="str">
        <f t="shared" si="12"/>
        <v/>
      </c>
      <c r="AS59" s="183">
        <f t="shared" si="13"/>
        <v>0</v>
      </c>
      <c r="AT59" s="183"/>
      <c r="AU59" s="183">
        <f t="shared" si="7"/>
        <v>0</v>
      </c>
      <c r="AV59" s="183">
        <f t="shared" si="8"/>
        <v>0</v>
      </c>
      <c r="AW59" s="117">
        <f t="shared" si="9"/>
        <v>0</v>
      </c>
      <c r="AX59" s="184">
        <f t="shared" si="10"/>
        <v>0</v>
      </c>
      <c r="AY59" s="117">
        <f t="shared" si="11"/>
        <v>0</v>
      </c>
      <c r="AZ59" s="117"/>
    </row>
    <row r="60" spans="44:52" s="14" customFormat="1" ht="14">
      <c r="AR60" s="117" t="str">
        <f t="shared" si="12"/>
        <v/>
      </c>
      <c r="AS60" s="183">
        <f t="shared" si="13"/>
        <v>0</v>
      </c>
      <c r="AT60" s="183"/>
      <c r="AU60" s="183">
        <f t="shared" si="7"/>
        <v>0</v>
      </c>
      <c r="AV60" s="183">
        <f t="shared" si="8"/>
        <v>0</v>
      </c>
      <c r="AW60" s="117">
        <f t="shared" si="9"/>
        <v>0</v>
      </c>
      <c r="AX60" s="184">
        <f t="shared" si="10"/>
        <v>0</v>
      </c>
      <c r="AY60" s="117">
        <f t="shared" si="11"/>
        <v>0</v>
      </c>
      <c r="AZ60" s="117"/>
    </row>
    <row r="61" spans="44:52" s="14" customFormat="1" ht="14">
      <c r="AR61" s="117" t="str">
        <f t="shared" si="12"/>
        <v/>
      </c>
      <c r="AS61" s="183">
        <f t="shared" si="13"/>
        <v>0</v>
      </c>
      <c r="AT61" s="183"/>
      <c r="AU61" s="183">
        <f t="shared" si="7"/>
        <v>0</v>
      </c>
      <c r="AV61" s="183">
        <f t="shared" si="8"/>
        <v>0</v>
      </c>
      <c r="AW61" s="117">
        <f t="shared" si="9"/>
        <v>0</v>
      </c>
      <c r="AX61" s="184">
        <f t="shared" si="10"/>
        <v>0</v>
      </c>
      <c r="AY61" s="117">
        <f t="shared" si="11"/>
        <v>0</v>
      </c>
      <c r="AZ61" s="117"/>
    </row>
    <row r="62" spans="44:52" s="14" customFormat="1" ht="14">
      <c r="AR62" s="117" t="str">
        <f t="shared" si="12"/>
        <v/>
      </c>
      <c r="AS62" s="183">
        <f t="shared" si="13"/>
        <v>0</v>
      </c>
      <c r="AT62" s="183"/>
      <c r="AU62" s="183">
        <f t="shared" si="7"/>
        <v>0</v>
      </c>
      <c r="AV62" s="183">
        <f t="shared" si="8"/>
        <v>0</v>
      </c>
      <c r="AW62" s="117">
        <f t="shared" si="9"/>
        <v>0</v>
      </c>
      <c r="AX62" s="184">
        <f t="shared" si="10"/>
        <v>0</v>
      </c>
      <c r="AY62" s="117">
        <f t="shared" si="11"/>
        <v>0</v>
      </c>
      <c r="AZ62" s="117"/>
    </row>
    <row r="63" spans="44:52" s="14" customFormat="1" ht="14">
      <c r="AR63" s="117" t="str">
        <f t="shared" si="12"/>
        <v/>
      </c>
      <c r="AS63" s="183">
        <f t="shared" si="13"/>
        <v>0</v>
      </c>
      <c r="AT63" s="183"/>
      <c r="AU63" s="183">
        <f t="shared" si="7"/>
        <v>0</v>
      </c>
      <c r="AV63" s="183">
        <f t="shared" si="8"/>
        <v>0</v>
      </c>
      <c r="AW63" s="117">
        <f t="shared" si="9"/>
        <v>0</v>
      </c>
      <c r="AX63" s="184">
        <f t="shared" si="10"/>
        <v>0</v>
      </c>
      <c r="AY63" s="117">
        <f t="shared" si="11"/>
        <v>0</v>
      </c>
      <c r="AZ63" s="117"/>
    </row>
    <row r="64" spans="44:52" s="14" customFormat="1" ht="14">
      <c r="AR64" s="117" t="str">
        <f t="shared" si="12"/>
        <v/>
      </c>
      <c r="AS64" s="183">
        <f t="shared" si="13"/>
        <v>0</v>
      </c>
      <c r="AT64" s="183"/>
      <c r="AU64" s="183">
        <f t="shared" si="7"/>
        <v>0</v>
      </c>
      <c r="AV64" s="183">
        <f t="shared" si="8"/>
        <v>0</v>
      </c>
      <c r="AW64" s="117">
        <f t="shared" si="9"/>
        <v>0</v>
      </c>
      <c r="AX64" s="184">
        <f t="shared" si="10"/>
        <v>0</v>
      </c>
      <c r="AY64" s="117">
        <f t="shared" si="11"/>
        <v>0</v>
      </c>
      <c r="AZ64" s="117"/>
    </row>
    <row r="65" spans="44:52" s="14" customFormat="1" ht="14">
      <c r="AR65" s="117" t="str">
        <f t="shared" si="12"/>
        <v/>
      </c>
      <c r="AS65" s="183">
        <f t="shared" si="13"/>
        <v>0</v>
      </c>
      <c r="AT65" s="183"/>
      <c r="AU65" s="183">
        <f t="shared" ref="AU65:AU96" si="14">$D$10*AS65</f>
        <v>0</v>
      </c>
      <c r="AV65" s="183">
        <f t="shared" ref="AV65:AV96" si="15">AS65</f>
        <v>0</v>
      </c>
      <c r="AW65" s="117">
        <f t="shared" ref="AW65:AW96" si="16">IF(ISNUMBER(AR66),SUM(AT65:AU65),SUM(AT65:AV65))</f>
        <v>0</v>
      </c>
      <c r="AX65" s="184">
        <f t="shared" ref="AX65:AX96" si="17">LN(AW65+$J$36)-LN($J$36)</f>
        <v>0</v>
      </c>
      <c r="AY65" s="117">
        <f t="shared" ref="AY65:AY96" si="18">IF(ISNUMBER(AR65),AX65/(1+$D$7)^AR65,0)</f>
        <v>0</v>
      </c>
      <c r="AZ65" s="117"/>
    </row>
    <row r="66" spans="44:52" s="14" customFormat="1" ht="14">
      <c r="AR66" s="117" t="str">
        <f t="shared" ref="AR66:AR97" si="19">IF(AR65&lt;$D$14,AR65+1,"")</f>
        <v/>
      </c>
      <c r="AS66" s="183">
        <f t="shared" ref="AS66:AS97" si="20">IF(ISNUMBER(AR66),AV65,0)</f>
        <v>0</v>
      </c>
      <c r="AT66" s="183"/>
      <c r="AU66" s="183">
        <f t="shared" si="14"/>
        <v>0</v>
      </c>
      <c r="AV66" s="183">
        <f t="shared" si="15"/>
        <v>0</v>
      </c>
      <c r="AW66" s="117">
        <f t="shared" si="16"/>
        <v>0</v>
      </c>
      <c r="AX66" s="184">
        <f t="shared" si="17"/>
        <v>0</v>
      </c>
      <c r="AY66" s="117">
        <f t="shared" si="18"/>
        <v>0</v>
      </c>
      <c r="AZ66" s="117"/>
    </row>
    <row r="67" spans="44:52" s="14" customFormat="1" ht="14">
      <c r="AR67" s="117" t="str">
        <f t="shared" si="19"/>
        <v/>
      </c>
      <c r="AS67" s="183">
        <f t="shared" si="20"/>
        <v>0</v>
      </c>
      <c r="AT67" s="183"/>
      <c r="AU67" s="183">
        <f t="shared" si="14"/>
        <v>0</v>
      </c>
      <c r="AV67" s="183">
        <f t="shared" si="15"/>
        <v>0</v>
      </c>
      <c r="AW67" s="117">
        <f t="shared" si="16"/>
        <v>0</v>
      </c>
      <c r="AX67" s="184">
        <f t="shared" si="17"/>
        <v>0</v>
      </c>
      <c r="AY67" s="117">
        <f t="shared" si="18"/>
        <v>0</v>
      </c>
      <c r="AZ67" s="117"/>
    </row>
    <row r="68" spans="44:52" s="14" customFormat="1" ht="14">
      <c r="AR68" s="117" t="str">
        <f t="shared" si="19"/>
        <v/>
      </c>
      <c r="AS68" s="183">
        <f t="shared" si="20"/>
        <v>0</v>
      </c>
      <c r="AT68" s="183"/>
      <c r="AU68" s="183">
        <f t="shared" si="14"/>
        <v>0</v>
      </c>
      <c r="AV68" s="183">
        <f t="shared" si="15"/>
        <v>0</v>
      </c>
      <c r="AW68" s="117">
        <f t="shared" si="16"/>
        <v>0</v>
      </c>
      <c r="AX68" s="184">
        <f t="shared" si="17"/>
        <v>0</v>
      </c>
      <c r="AY68" s="117">
        <f t="shared" si="18"/>
        <v>0</v>
      </c>
      <c r="AZ68" s="117"/>
    </row>
    <row r="69" spans="44:52" s="14" customFormat="1" ht="14">
      <c r="AR69" s="117" t="str">
        <f t="shared" si="19"/>
        <v/>
      </c>
      <c r="AS69" s="183">
        <f t="shared" si="20"/>
        <v>0</v>
      </c>
      <c r="AT69" s="183"/>
      <c r="AU69" s="183">
        <f t="shared" si="14"/>
        <v>0</v>
      </c>
      <c r="AV69" s="183">
        <f t="shared" si="15"/>
        <v>0</v>
      </c>
      <c r="AW69" s="117">
        <f t="shared" si="16"/>
        <v>0</v>
      </c>
      <c r="AX69" s="184">
        <f t="shared" si="17"/>
        <v>0</v>
      </c>
      <c r="AY69" s="117">
        <f t="shared" si="18"/>
        <v>0</v>
      </c>
      <c r="AZ69" s="117"/>
    </row>
    <row r="70" spans="44:52" s="14" customFormat="1" ht="14">
      <c r="AR70" s="117" t="str">
        <f t="shared" si="19"/>
        <v/>
      </c>
      <c r="AS70" s="183">
        <f t="shared" si="20"/>
        <v>0</v>
      </c>
      <c r="AT70" s="183"/>
      <c r="AU70" s="183">
        <f t="shared" si="14"/>
        <v>0</v>
      </c>
      <c r="AV70" s="183">
        <f t="shared" si="15"/>
        <v>0</v>
      </c>
      <c r="AW70" s="117">
        <f t="shared" si="16"/>
        <v>0</v>
      </c>
      <c r="AX70" s="184">
        <f t="shared" si="17"/>
        <v>0</v>
      </c>
      <c r="AY70" s="117">
        <f t="shared" si="18"/>
        <v>0</v>
      </c>
      <c r="AZ70" s="117"/>
    </row>
    <row r="71" spans="44:52" s="14" customFormat="1" ht="14">
      <c r="AR71" s="117" t="str">
        <f t="shared" si="19"/>
        <v/>
      </c>
      <c r="AS71" s="183">
        <f t="shared" si="20"/>
        <v>0</v>
      </c>
      <c r="AT71" s="183"/>
      <c r="AU71" s="183">
        <f t="shared" si="14"/>
        <v>0</v>
      </c>
      <c r="AV71" s="183">
        <f t="shared" si="15"/>
        <v>0</v>
      </c>
      <c r="AW71" s="117">
        <f t="shared" si="16"/>
        <v>0</v>
      </c>
      <c r="AX71" s="184">
        <f t="shared" si="17"/>
        <v>0</v>
      </c>
      <c r="AY71" s="117">
        <f t="shared" si="18"/>
        <v>0</v>
      </c>
      <c r="AZ71" s="117"/>
    </row>
    <row r="72" spans="44:52" s="14" customFormat="1" ht="14">
      <c r="AR72" s="117" t="str">
        <f t="shared" si="19"/>
        <v/>
      </c>
      <c r="AS72" s="183">
        <f t="shared" si="20"/>
        <v>0</v>
      </c>
      <c r="AT72" s="183"/>
      <c r="AU72" s="183">
        <f t="shared" si="14"/>
        <v>0</v>
      </c>
      <c r="AV72" s="183">
        <f t="shared" si="15"/>
        <v>0</v>
      </c>
      <c r="AW72" s="117">
        <f t="shared" si="16"/>
        <v>0</v>
      </c>
      <c r="AX72" s="184">
        <f t="shared" si="17"/>
        <v>0</v>
      </c>
      <c r="AY72" s="117">
        <f t="shared" si="18"/>
        <v>0</v>
      </c>
      <c r="AZ72" s="117"/>
    </row>
    <row r="73" spans="44:52" s="14" customFormat="1" ht="14">
      <c r="AR73" s="117" t="str">
        <f t="shared" si="19"/>
        <v/>
      </c>
      <c r="AS73" s="183">
        <f t="shared" si="20"/>
        <v>0</v>
      </c>
      <c r="AT73" s="183"/>
      <c r="AU73" s="183">
        <f t="shared" si="14"/>
        <v>0</v>
      </c>
      <c r="AV73" s="183">
        <f t="shared" si="15"/>
        <v>0</v>
      </c>
      <c r="AW73" s="117">
        <f t="shared" si="16"/>
        <v>0</v>
      </c>
      <c r="AX73" s="184">
        <f t="shared" si="17"/>
        <v>0</v>
      </c>
      <c r="AY73" s="117">
        <f t="shared" si="18"/>
        <v>0</v>
      </c>
      <c r="AZ73" s="117"/>
    </row>
    <row r="74" spans="44:52" s="14" customFormat="1" ht="14">
      <c r="AR74" s="117" t="str">
        <f t="shared" si="19"/>
        <v/>
      </c>
      <c r="AS74" s="183">
        <f t="shared" si="20"/>
        <v>0</v>
      </c>
      <c r="AT74" s="183"/>
      <c r="AU74" s="183">
        <f t="shared" si="14"/>
        <v>0</v>
      </c>
      <c r="AV74" s="183">
        <f t="shared" si="15"/>
        <v>0</v>
      </c>
      <c r="AW74" s="117">
        <f t="shared" si="16"/>
        <v>0</v>
      </c>
      <c r="AX74" s="184">
        <f t="shared" si="17"/>
        <v>0</v>
      </c>
      <c r="AY74" s="117">
        <f t="shared" si="18"/>
        <v>0</v>
      </c>
      <c r="AZ74" s="117"/>
    </row>
    <row r="75" spans="44:52" s="14" customFormat="1" ht="14">
      <c r="AR75" s="117" t="str">
        <f t="shared" si="19"/>
        <v/>
      </c>
      <c r="AS75" s="183">
        <f t="shared" si="20"/>
        <v>0</v>
      </c>
      <c r="AT75" s="183"/>
      <c r="AU75" s="183">
        <f t="shared" si="14"/>
        <v>0</v>
      </c>
      <c r="AV75" s="183">
        <f t="shared" si="15"/>
        <v>0</v>
      </c>
      <c r="AW75" s="117">
        <f t="shared" si="16"/>
        <v>0</v>
      </c>
      <c r="AX75" s="184">
        <f t="shared" si="17"/>
        <v>0</v>
      </c>
      <c r="AY75" s="117">
        <f t="shared" si="18"/>
        <v>0</v>
      </c>
      <c r="AZ75" s="117"/>
    </row>
    <row r="76" spans="44:52" s="14" customFormat="1" ht="14">
      <c r="AR76" s="117" t="str">
        <f t="shared" si="19"/>
        <v/>
      </c>
      <c r="AS76" s="183">
        <f t="shared" si="20"/>
        <v>0</v>
      </c>
      <c r="AT76" s="183"/>
      <c r="AU76" s="183">
        <f t="shared" si="14"/>
        <v>0</v>
      </c>
      <c r="AV76" s="183">
        <f t="shared" si="15"/>
        <v>0</v>
      </c>
      <c r="AW76" s="117">
        <f t="shared" si="16"/>
        <v>0</v>
      </c>
      <c r="AX76" s="184">
        <f t="shared" si="17"/>
        <v>0</v>
      </c>
      <c r="AY76" s="117">
        <f t="shared" si="18"/>
        <v>0</v>
      </c>
      <c r="AZ76" s="117"/>
    </row>
    <row r="77" spans="44:52" s="14" customFormat="1" ht="14">
      <c r="AR77" s="117" t="str">
        <f t="shared" si="19"/>
        <v/>
      </c>
      <c r="AS77" s="183">
        <f t="shared" si="20"/>
        <v>0</v>
      </c>
      <c r="AT77" s="183"/>
      <c r="AU77" s="183">
        <f t="shared" si="14"/>
        <v>0</v>
      </c>
      <c r="AV77" s="183">
        <f t="shared" si="15"/>
        <v>0</v>
      </c>
      <c r="AW77" s="117">
        <f t="shared" si="16"/>
        <v>0</v>
      </c>
      <c r="AX77" s="184">
        <f t="shared" si="17"/>
        <v>0</v>
      </c>
      <c r="AY77" s="117">
        <f t="shared" si="18"/>
        <v>0</v>
      </c>
      <c r="AZ77" s="117"/>
    </row>
    <row r="78" spans="44:52" s="14" customFormat="1" ht="14">
      <c r="AR78" s="117" t="str">
        <f t="shared" si="19"/>
        <v/>
      </c>
      <c r="AS78" s="183">
        <f t="shared" si="20"/>
        <v>0</v>
      </c>
      <c r="AT78" s="183"/>
      <c r="AU78" s="183">
        <f t="shared" si="14"/>
        <v>0</v>
      </c>
      <c r="AV78" s="183">
        <f t="shared" si="15"/>
        <v>0</v>
      </c>
      <c r="AW78" s="117">
        <f t="shared" si="16"/>
        <v>0</v>
      </c>
      <c r="AX78" s="184">
        <f t="shared" si="17"/>
        <v>0</v>
      </c>
      <c r="AY78" s="117">
        <f t="shared" si="18"/>
        <v>0</v>
      </c>
      <c r="AZ78" s="117"/>
    </row>
    <row r="79" spans="44:52" s="14" customFormat="1" ht="14">
      <c r="AR79" s="117" t="str">
        <f t="shared" si="19"/>
        <v/>
      </c>
      <c r="AS79" s="183">
        <f t="shared" si="20"/>
        <v>0</v>
      </c>
      <c r="AT79" s="183"/>
      <c r="AU79" s="183">
        <f t="shared" si="14"/>
        <v>0</v>
      </c>
      <c r="AV79" s="183">
        <f t="shared" si="15"/>
        <v>0</v>
      </c>
      <c r="AW79" s="117">
        <f t="shared" si="16"/>
        <v>0</v>
      </c>
      <c r="AX79" s="184">
        <f t="shared" si="17"/>
        <v>0</v>
      </c>
      <c r="AY79" s="117">
        <f t="shared" si="18"/>
        <v>0</v>
      </c>
      <c r="AZ79" s="117"/>
    </row>
    <row r="80" spans="44:52" s="14" customFormat="1" ht="14">
      <c r="AR80" s="117" t="str">
        <f t="shared" si="19"/>
        <v/>
      </c>
      <c r="AS80" s="183">
        <f t="shared" si="20"/>
        <v>0</v>
      </c>
      <c r="AT80" s="183"/>
      <c r="AU80" s="183">
        <f t="shared" si="14"/>
        <v>0</v>
      </c>
      <c r="AV80" s="183">
        <f t="shared" si="15"/>
        <v>0</v>
      </c>
      <c r="AW80" s="117">
        <f t="shared" si="16"/>
        <v>0</v>
      </c>
      <c r="AX80" s="184">
        <f t="shared" si="17"/>
        <v>0</v>
      </c>
      <c r="AY80" s="117">
        <f t="shared" si="18"/>
        <v>0</v>
      </c>
      <c r="AZ80" s="117"/>
    </row>
    <row r="81" spans="44:52" s="14" customFormat="1" ht="14">
      <c r="AR81" s="117" t="str">
        <f t="shared" si="19"/>
        <v/>
      </c>
      <c r="AS81" s="183">
        <f t="shared" si="20"/>
        <v>0</v>
      </c>
      <c r="AT81" s="183"/>
      <c r="AU81" s="183">
        <f t="shared" si="14"/>
        <v>0</v>
      </c>
      <c r="AV81" s="183">
        <f t="shared" si="15"/>
        <v>0</v>
      </c>
      <c r="AW81" s="117">
        <f t="shared" si="16"/>
        <v>0</v>
      </c>
      <c r="AX81" s="184">
        <f t="shared" si="17"/>
        <v>0</v>
      </c>
      <c r="AY81" s="117">
        <f t="shared" si="18"/>
        <v>0</v>
      </c>
      <c r="AZ81" s="117"/>
    </row>
    <row r="82" spans="44:52" s="14" customFormat="1" ht="14">
      <c r="AR82" s="117" t="str">
        <f t="shared" si="19"/>
        <v/>
      </c>
      <c r="AS82" s="183">
        <f t="shared" si="20"/>
        <v>0</v>
      </c>
      <c r="AT82" s="183"/>
      <c r="AU82" s="183">
        <f t="shared" si="14"/>
        <v>0</v>
      </c>
      <c r="AV82" s="183">
        <f t="shared" si="15"/>
        <v>0</v>
      </c>
      <c r="AW82" s="117">
        <f t="shared" si="16"/>
        <v>0</v>
      </c>
      <c r="AX82" s="184">
        <f t="shared" si="17"/>
        <v>0</v>
      </c>
      <c r="AY82" s="117">
        <f t="shared" si="18"/>
        <v>0</v>
      </c>
      <c r="AZ82" s="117"/>
    </row>
    <row r="83" spans="44:52" s="14" customFormat="1" ht="14">
      <c r="AR83" s="117" t="str">
        <f t="shared" si="19"/>
        <v/>
      </c>
      <c r="AS83" s="183">
        <f t="shared" si="20"/>
        <v>0</v>
      </c>
      <c r="AT83" s="183"/>
      <c r="AU83" s="183">
        <f t="shared" si="14"/>
        <v>0</v>
      </c>
      <c r="AV83" s="183">
        <f t="shared" si="15"/>
        <v>0</v>
      </c>
      <c r="AW83" s="117">
        <f t="shared" si="16"/>
        <v>0</v>
      </c>
      <c r="AX83" s="184">
        <f t="shared" si="17"/>
        <v>0</v>
      </c>
      <c r="AY83" s="117">
        <f t="shared" si="18"/>
        <v>0</v>
      </c>
      <c r="AZ83" s="117"/>
    </row>
    <row r="84" spans="44:52" s="14" customFormat="1" ht="14">
      <c r="AR84" s="117" t="str">
        <f t="shared" si="19"/>
        <v/>
      </c>
      <c r="AS84" s="183">
        <f t="shared" si="20"/>
        <v>0</v>
      </c>
      <c r="AT84" s="183"/>
      <c r="AU84" s="183">
        <f t="shared" si="14"/>
        <v>0</v>
      </c>
      <c r="AV84" s="183">
        <f t="shared" si="15"/>
        <v>0</v>
      </c>
      <c r="AW84" s="117">
        <f t="shared" si="16"/>
        <v>0</v>
      </c>
      <c r="AX84" s="184">
        <f t="shared" si="17"/>
        <v>0</v>
      </c>
      <c r="AY84" s="117">
        <f t="shared" si="18"/>
        <v>0</v>
      </c>
      <c r="AZ84" s="117"/>
    </row>
    <row r="85" spans="44:52" s="14" customFormat="1" ht="14">
      <c r="AR85" s="117" t="str">
        <f t="shared" si="19"/>
        <v/>
      </c>
      <c r="AS85" s="183">
        <f t="shared" si="20"/>
        <v>0</v>
      </c>
      <c r="AT85" s="183"/>
      <c r="AU85" s="183">
        <f t="shared" si="14"/>
        <v>0</v>
      </c>
      <c r="AV85" s="183">
        <f t="shared" si="15"/>
        <v>0</v>
      </c>
      <c r="AW85" s="117">
        <f t="shared" si="16"/>
        <v>0</v>
      </c>
      <c r="AX85" s="184">
        <f t="shared" si="17"/>
        <v>0</v>
      </c>
      <c r="AY85" s="117">
        <f t="shared" si="18"/>
        <v>0</v>
      </c>
      <c r="AZ85" s="117"/>
    </row>
    <row r="86" spans="44:52" s="14" customFormat="1" ht="14">
      <c r="AR86" s="117" t="str">
        <f t="shared" si="19"/>
        <v/>
      </c>
      <c r="AS86" s="183">
        <f t="shared" si="20"/>
        <v>0</v>
      </c>
      <c r="AT86" s="183"/>
      <c r="AU86" s="183">
        <f t="shared" si="14"/>
        <v>0</v>
      </c>
      <c r="AV86" s="183">
        <f t="shared" si="15"/>
        <v>0</v>
      </c>
      <c r="AW86" s="117">
        <f t="shared" si="16"/>
        <v>0</v>
      </c>
      <c r="AX86" s="184">
        <f t="shared" si="17"/>
        <v>0</v>
      </c>
      <c r="AY86" s="117">
        <f t="shared" si="18"/>
        <v>0</v>
      </c>
      <c r="AZ86" s="117"/>
    </row>
    <row r="87" spans="44:52" s="14" customFormat="1" ht="14">
      <c r="AR87" s="117" t="str">
        <f t="shared" si="19"/>
        <v/>
      </c>
      <c r="AS87" s="183">
        <f t="shared" si="20"/>
        <v>0</v>
      </c>
      <c r="AT87" s="183"/>
      <c r="AU87" s="183">
        <f t="shared" si="14"/>
        <v>0</v>
      </c>
      <c r="AV87" s="183">
        <f t="shared" si="15"/>
        <v>0</v>
      </c>
      <c r="AW87" s="117">
        <f t="shared" si="16"/>
        <v>0</v>
      </c>
      <c r="AX87" s="184">
        <f t="shared" si="17"/>
        <v>0</v>
      </c>
      <c r="AY87" s="117">
        <f t="shared" si="18"/>
        <v>0</v>
      </c>
      <c r="AZ87" s="117"/>
    </row>
    <row r="88" spans="44:52" s="14" customFormat="1" ht="14">
      <c r="AR88" s="117" t="str">
        <f t="shared" si="19"/>
        <v/>
      </c>
      <c r="AS88" s="183">
        <f t="shared" si="20"/>
        <v>0</v>
      </c>
      <c r="AT88" s="183"/>
      <c r="AU88" s="183">
        <f t="shared" si="14"/>
        <v>0</v>
      </c>
      <c r="AV88" s="183">
        <f t="shared" si="15"/>
        <v>0</v>
      </c>
      <c r="AW88" s="117">
        <f t="shared" si="16"/>
        <v>0</v>
      </c>
      <c r="AX88" s="184">
        <f t="shared" si="17"/>
        <v>0</v>
      </c>
      <c r="AY88" s="117">
        <f t="shared" si="18"/>
        <v>0</v>
      </c>
      <c r="AZ88" s="117"/>
    </row>
    <row r="89" spans="44:52" s="14" customFormat="1" ht="14">
      <c r="AR89" s="117" t="str">
        <f t="shared" si="19"/>
        <v/>
      </c>
      <c r="AS89" s="183">
        <f t="shared" si="20"/>
        <v>0</v>
      </c>
      <c r="AT89" s="183"/>
      <c r="AU89" s="183">
        <f t="shared" si="14"/>
        <v>0</v>
      </c>
      <c r="AV89" s="183">
        <f t="shared" si="15"/>
        <v>0</v>
      </c>
      <c r="AW89" s="117">
        <f t="shared" si="16"/>
        <v>0</v>
      </c>
      <c r="AX89" s="184">
        <f t="shared" si="17"/>
        <v>0</v>
      </c>
      <c r="AY89" s="117">
        <f t="shared" si="18"/>
        <v>0</v>
      </c>
      <c r="AZ89" s="117"/>
    </row>
    <row r="90" spans="44:52" s="14" customFormat="1" ht="14">
      <c r="AR90" s="117" t="str">
        <f t="shared" si="19"/>
        <v/>
      </c>
      <c r="AS90" s="183">
        <f t="shared" si="20"/>
        <v>0</v>
      </c>
      <c r="AT90" s="183"/>
      <c r="AU90" s="183">
        <f t="shared" si="14"/>
        <v>0</v>
      </c>
      <c r="AV90" s="183">
        <f t="shared" si="15"/>
        <v>0</v>
      </c>
      <c r="AW90" s="117">
        <f t="shared" si="16"/>
        <v>0</v>
      </c>
      <c r="AX90" s="184">
        <f t="shared" si="17"/>
        <v>0</v>
      </c>
      <c r="AY90" s="117">
        <f t="shared" si="18"/>
        <v>0</v>
      </c>
      <c r="AZ90" s="117"/>
    </row>
    <row r="91" spans="44:52" s="14" customFormat="1" ht="14">
      <c r="AR91" s="117" t="str">
        <f t="shared" si="19"/>
        <v/>
      </c>
      <c r="AS91" s="183">
        <f t="shared" si="20"/>
        <v>0</v>
      </c>
      <c r="AT91" s="183"/>
      <c r="AU91" s="183">
        <f t="shared" si="14"/>
        <v>0</v>
      </c>
      <c r="AV91" s="183">
        <f t="shared" si="15"/>
        <v>0</v>
      </c>
      <c r="AW91" s="117">
        <f t="shared" si="16"/>
        <v>0</v>
      </c>
      <c r="AX91" s="184">
        <f t="shared" si="17"/>
        <v>0</v>
      </c>
      <c r="AY91" s="117">
        <f t="shared" si="18"/>
        <v>0</v>
      </c>
      <c r="AZ91" s="117"/>
    </row>
    <row r="92" spans="44:52" s="14" customFormat="1" ht="14">
      <c r="AR92" s="117" t="str">
        <f t="shared" si="19"/>
        <v/>
      </c>
      <c r="AS92" s="183">
        <f t="shared" si="20"/>
        <v>0</v>
      </c>
      <c r="AT92" s="183"/>
      <c r="AU92" s="183">
        <f t="shared" si="14"/>
        <v>0</v>
      </c>
      <c r="AV92" s="183">
        <f t="shared" si="15"/>
        <v>0</v>
      </c>
      <c r="AW92" s="117">
        <f t="shared" si="16"/>
        <v>0</v>
      </c>
      <c r="AX92" s="184">
        <f t="shared" si="17"/>
        <v>0</v>
      </c>
      <c r="AY92" s="117">
        <f t="shared" si="18"/>
        <v>0</v>
      </c>
      <c r="AZ92" s="117"/>
    </row>
    <row r="93" spans="44:52" s="14" customFormat="1" ht="14">
      <c r="AR93" s="117" t="str">
        <f t="shared" si="19"/>
        <v/>
      </c>
      <c r="AS93" s="183">
        <f t="shared" si="20"/>
        <v>0</v>
      </c>
      <c r="AT93" s="183"/>
      <c r="AU93" s="183">
        <f t="shared" si="14"/>
        <v>0</v>
      </c>
      <c r="AV93" s="183">
        <f t="shared" si="15"/>
        <v>0</v>
      </c>
      <c r="AW93" s="117">
        <f t="shared" si="16"/>
        <v>0</v>
      </c>
      <c r="AX93" s="184">
        <f t="shared" si="17"/>
        <v>0</v>
      </c>
      <c r="AY93" s="117">
        <f t="shared" si="18"/>
        <v>0</v>
      </c>
      <c r="AZ93" s="117"/>
    </row>
    <row r="94" spans="44:52" s="14" customFormat="1" ht="14">
      <c r="AR94" s="117" t="str">
        <f t="shared" si="19"/>
        <v/>
      </c>
      <c r="AS94" s="183">
        <f t="shared" si="20"/>
        <v>0</v>
      </c>
      <c r="AT94" s="183"/>
      <c r="AU94" s="183">
        <f t="shared" si="14"/>
        <v>0</v>
      </c>
      <c r="AV94" s="183">
        <f t="shared" si="15"/>
        <v>0</v>
      </c>
      <c r="AW94" s="117">
        <f t="shared" si="16"/>
        <v>0</v>
      </c>
      <c r="AX94" s="184">
        <f t="shared" si="17"/>
        <v>0</v>
      </c>
      <c r="AY94" s="117">
        <f t="shared" si="18"/>
        <v>0</v>
      </c>
      <c r="AZ94" s="117"/>
    </row>
    <row r="95" spans="44:52" s="14" customFormat="1" ht="14">
      <c r="AR95" s="117" t="str">
        <f t="shared" si="19"/>
        <v/>
      </c>
      <c r="AS95" s="183">
        <f t="shared" si="20"/>
        <v>0</v>
      </c>
      <c r="AT95" s="183"/>
      <c r="AU95" s="183">
        <f t="shared" si="14"/>
        <v>0</v>
      </c>
      <c r="AV95" s="183">
        <f t="shared" si="15"/>
        <v>0</v>
      </c>
      <c r="AW95" s="117">
        <f t="shared" si="16"/>
        <v>0</v>
      </c>
      <c r="AX95" s="184">
        <f t="shared" si="17"/>
        <v>0</v>
      </c>
      <c r="AY95" s="117">
        <f t="shared" si="18"/>
        <v>0</v>
      </c>
      <c r="AZ95" s="117"/>
    </row>
    <row r="96" spans="44:52" s="14" customFormat="1" ht="14">
      <c r="AR96" s="117" t="str">
        <f t="shared" si="19"/>
        <v/>
      </c>
      <c r="AS96" s="183">
        <f t="shared" si="20"/>
        <v>0</v>
      </c>
      <c r="AT96" s="183"/>
      <c r="AU96" s="183">
        <f t="shared" si="14"/>
        <v>0</v>
      </c>
      <c r="AV96" s="183">
        <f t="shared" si="15"/>
        <v>0</v>
      </c>
      <c r="AW96" s="117">
        <f t="shared" si="16"/>
        <v>0</v>
      </c>
      <c r="AX96" s="184">
        <f t="shared" si="17"/>
        <v>0</v>
      </c>
      <c r="AY96" s="117">
        <f t="shared" si="18"/>
        <v>0</v>
      </c>
      <c r="AZ96" s="117"/>
    </row>
    <row r="97" spans="44:52" s="14" customFormat="1" ht="14">
      <c r="AR97" s="117" t="str">
        <f t="shared" si="19"/>
        <v/>
      </c>
      <c r="AS97" s="183">
        <f t="shared" si="20"/>
        <v>0</v>
      </c>
      <c r="AT97" s="183"/>
      <c r="AU97" s="183">
        <f t="shared" ref="AU97:AU113" si="21">$D$10*AS97</f>
        <v>0</v>
      </c>
      <c r="AV97" s="183">
        <f t="shared" ref="AV97:AV113" si="22">AS97</f>
        <v>0</v>
      </c>
      <c r="AW97" s="117">
        <f t="shared" ref="AW97:AW113" si="23">IF(ISNUMBER(AR98),SUM(AT97:AU97),SUM(AT97:AV97))</f>
        <v>0</v>
      </c>
      <c r="AX97" s="184">
        <f t="shared" ref="AX97:AX113" si="24">LN(AW97+$J$36)-LN($J$36)</f>
        <v>0</v>
      </c>
      <c r="AY97" s="117">
        <f t="shared" ref="AY97:AY113" si="25">IF(ISNUMBER(AR97),AX97/(1+$D$7)^AR97,0)</f>
        <v>0</v>
      </c>
      <c r="AZ97" s="117"/>
    </row>
    <row r="98" spans="44:52" s="14" customFormat="1" ht="14">
      <c r="AR98" s="117" t="str">
        <f t="shared" ref="AR98:AR113" si="26">IF(AR97&lt;$D$14,AR97+1,"")</f>
        <v/>
      </c>
      <c r="AS98" s="183">
        <f t="shared" ref="AS98:AS113" si="27">IF(ISNUMBER(AR98),AV97,0)</f>
        <v>0</v>
      </c>
      <c r="AT98" s="183"/>
      <c r="AU98" s="183">
        <f t="shared" si="21"/>
        <v>0</v>
      </c>
      <c r="AV98" s="183">
        <f t="shared" si="22"/>
        <v>0</v>
      </c>
      <c r="AW98" s="117">
        <f t="shared" si="23"/>
        <v>0</v>
      </c>
      <c r="AX98" s="184">
        <f t="shared" si="24"/>
        <v>0</v>
      </c>
      <c r="AY98" s="117">
        <f t="shared" si="25"/>
        <v>0</v>
      </c>
      <c r="AZ98" s="117"/>
    </row>
    <row r="99" spans="44:52" s="14" customFormat="1" ht="14">
      <c r="AR99" s="117" t="str">
        <f t="shared" si="26"/>
        <v/>
      </c>
      <c r="AS99" s="183">
        <f t="shared" si="27"/>
        <v>0</v>
      </c>
      <c r="AT99" s="183"/>
      <c r="AU99" s="183">
        <f t="shared" si="21"/>
        <v>0</v>
      </c>
      <c r="AV99" s="183">
        <f t="shared" si="22"/>
        <v>0</v>
      </c>
      <c r="AW99" s="117">
        <f t="shared" si="23"/>
        <v>0</v>
      </c>
      <c r="AX99" s="184">
        <f t="shared" si="24"/>
        <v>0</v>
      </c>
      <c r="AY99" s="117">
        <f t="shared" si="25"/>
        <v>0</v>
      </c>
      <c r="AZ99" s="117"/>
    </row>
    <row r="100" spans="44:52" s="14" customFormat="1" ht="14">
      <c r="AR100" s="117" t="str">
        <f t="shared" si="26"/>
        <v/>
      </c>
      <c r="AS100" s="183">
        <f t="shared" si="27"/>
        <v>0</v>
      </c>
      <c r="AT100" s="183"/>
      <c r="AU100" s="183">
        <f t="shared" si="21"/>
        <v>0</v>
      </c>
      <c r="AV100" s="183">
        <f t="shared" si="22"/>
        <v>0</v>
      </c>
      <c r="AW100" s="117">
        <f t="shared" si="23"/>
        <v>0</v>
      </c>
      <c r="AX100" s="184">
        <f t="shared" si="24"/>
        <v>0</v>
      </c>
      <c r="AY100" s="117">
        <f t="shared" si="25"/>
        <v>0</v>
      </c>
      <c r="AZ100" s="117"/>
    </row>
    <row r="101" spans="44:52" s="14" customFormat="1" ht="14">
      <c r="AR101" s="117" t="str">
        <f t="shared" si="26"/>
        <v/>
      </c>
      <c r="AS101" s="183">
        <f t="shared" si="27"/>
        <v>0</v>
      </c>
      <c r="AT101" s="183"/>
      <c r="AU101" s="183">
        <f t="shared" si="21"/>
        <v>0</v>
      </c>
      <c r="AV101" s="183">
        <f t="shared" si="22"/>
        <v>0</v>
      </c>
      <c r="AW101" s="117">
        <f t="shared" si="23"/>
        <v>0</v>
      </c>
      <c r="AX101" s="184">
        <f t="shared" si="24"/>
        <v>0</v>
      </c>
      <c r="AY101" s="117">
        <f t="shared" si="25"/>
        <v>0</v>
      </c>
      <c r="AZ101" s="117"/>
    </row>
    <row r="102" spans="44:52" s="14" customFormat="1" ht="14">
      <c r="AR102" s="117" t="str">
        <f t="shared" si="26"/>
        <v/>
      </c>
      <c r="AS102" s="183">
        <f t="shared" si="27"/>
        <v>0</v>
      </c>
      <c r="AT102" s="183"/>
      <c r="AU102" s="183">
        <f t="shared" si="21"/>
        <v>0</v>
      </c>
      <c r="AV102" s="183">
        <f t="shared" si="22"/>
        <v>0</v>
      </c>
      <c r="AW102" s="117">
        <f t="shared" si="23"/>
        <v>0</v>
      </c>
      <c r="AX102" s="184">
        <f t="shared" si="24"/>
        <v>0</v>
      </c>
      <c r="AY102" s="117">
        <f t="shared" si="25"/>
        <v>0</v>
      </c>
      <c r="AZ102" s="117"/>
    </row>
    <row r="103" spans="44:52" s="14" customFormat="1" ht="14">
      <c r="AR103" s="117" t="str">
        <f t="shared" si="26"/>
        <v/>
      </c>
      <c r="AS103" s="183">
        <f t="shared" si="27"/>
        <v>0</v>
      </c>
      <c r="AT103" s="183"/>
      <c r="AU103" s="183">
        <f t="shared" si="21"/>
        <v>0</v>
      </c>
      <c r="AV103" s="183">
        <f t="shared" si="22"/>
        <v>0</v>
      </c>
      <c r="AW103" s="117">
        <f t="shared" si="23"/>
        <v>0</v>
      </c>
      <c r="AX103" s="184">
        <f t="shared" si="24"/>
        <v>0</v>
      </c>
      <c r="AY103" s="117">
        <f t="shared" si="25"/>
        <v>0</v>
      </c>
      <c r="AZ103" s="117"/>
    </row>
    <row r="104" spans="44:52" s="14" customFormat="1" ht="14">
      <c r="AR104" s="117" t="str">
        <f t="shared" si="26"/>
        <v/>
      </c>
      <c r="AS104" s="183">
        <f t="shared" si="27"/>
        <v>0</v>
      </c>
      <c r="AT104" s="183"/>
      <c r="AU104" s="183">
        <f t="shared" si="21"/>
        <v>0</v>
      </c>
      <c r="AV104" s="183">
        <f t="shared" si="22"/>
        <v>0</v>
      </c>
      <c r="AW104" s="117">
        <f t="shared" si="23"/>
        <v>0</v>
      </c>
      <c r="AX104" s="184">
        <f t="shared" si="24"/>
        <v>0</v>
      </c>
      <c r="AY104" s="117">
        <f t="shared" si="25"/>
        <v>0</v>
      </c>
      <c r="AZ104" s="117"/>
    </row>
    <row r="105" spans="44:52" s="14" customFormat="1" ht="14">
      <c r="AR105" s="117" t="str">
        <f t="shared" si="26"/>
        <v/>
      </c>
      <c r="AS105" s="183">
        <f t="shared" si="27"/>
        <v>0</v>
      </c>
      <c r="AT105" s="183"/>
      <c r="AU105" s="183">
        <f t="shared" si="21"/>
        <v>0</v>
      </c>
      <c r="AV105" s="183">
        <f t="shared" si="22"/>
        <v>0</v>
      </c>
      <c r="AW105" s="117">
        <f t="shared" si="23"/>
        <v>0</v>
      </c>
      <c r="AX105" s="184">
        <f t="shared" si="24"/>
        <v>0</v>
      </c>
      <c r="AY105" s="117">
        <f t="shared" si="25"/>
        <v>0</v>
      </c>
      <c r="AZ105" s="117"/>
    </row>
    <row r="106" spans="44:52" s="14" customFormat="1" ht="14">
      <c r="AR106" s="117" t="str">
        <f t="shared" si="26"/>
        <v/>
      </c>
      <c r="AS106" s="183">
        <f t="shared" si="27"/>
        <v>0</v>
      </c>
      <c r="AT106" s="183"/>
      <c r="AU106" s="183">
        <f t="shared" si="21"/>
        <v>0</v>
      </c>
      <c r="AV106" s="183">
        <f t="shared" si="22"/>
        <v>0</v>
      </c>
      <c r="AW106" s="117">
        <f t="shared" si="23"/>
        <v>0</v>
      </c>
      <c r="AX106" s="184">
        <f t="shared" si="24"/>
        <v>0</v>
      </c>
      <c r="AY106" s="117">
        <f t="shared" si="25"/>
        <v>0</v>
      </c>
      <c r="AZ106" s="117"/>
    </row>
    <row r="107" spans="44:52" s="14" customFormat="1" ht="14">
      <c r="AR107" s="117" t="str">
        <f t="shared" si="26"/>
        <v/>
      </c>
      <c r="AS107" s="183">
        <f t="shared" si="27"/>
        <v>0</v>
      </c>
      <c r="AT107" s="183"/>
      <c r="AU107" s="183">
        <f t="shared" si="21"/>
        <v>0</v>
      </c>
      <c r="AV107" s="183">
        <f t="shared" si="22"/>
        <v>0</v>
      </c>
      <c r="AW107" s="117">
        <f t="shared" si="23"/>
        <v>0</v>
      </c>
      <c r="AX107" s="184">
        <f t="shared" si="24"/>
        <v>0</v>
      </c>
      <c r="AY107" s="117">
        <f t="shared" si="25"/>
        <v>0</v>
      </c>
      <c r="AZ107" s="117"/>
    </row>
    <row r="108" spans="44:52" s="14" customFormat="1" ht="14">
      <c r="AR108" s="117" t="str">
        <f t="shared" si="26"/>
        <v/>
      </c>
      <c r="AS108" s="183">
        <f t="shared" si="27"/>
        <v>0</v>
      </c>
      <c r="AT108" s="183"/>
      <c r="AU108" s="183">
        <f t="shared" si="21"/>
        <v>0</v>
      </c>
      <c r="AV108" s="183">
        <f t="shared" si="22"/>
        <v>0</v>
      </c>
      <c r="AW108" s="117">
        <f t="shared" si="23"/>
        <v>0</v>
      </c>
      <c r="AX108" s="184">
        <f t="shared" si="24"/>
        <v>0</v>
      </c>
      <c r="AY108" s="117">
        <f t="shared" si="25"/>
        <v>0</v>
      </c>
      <c r="AZ108" s="117"/>
    </row>
    <row r="109" spans="44:52" s="14" customFormat="1" ht="14">
      <c r="AR109" s="117" t="str">
        <f t="shared" si="26"/>
        <v/>
      </c>
      <c r="AS109" s="183">
        <f t="shared" si="27"/>
        <v>0</v>
      </c>
      <c r="AT109" s="183"/>
      <c r="AU109" s="183">
        <f t="shared" si="21"/>
        <v>0</v>
      </c>
      <c r="AV109" s="183">
        <f t="shared" si="22"/>
        <v>0</v>
      </c>
      <c r="AW109" s="117">
        <f t="shared" si="23"/>
        <v>0</v>
      </c>
      <c r="AX109" s="184">
        <f t="shared" si="24"/>
        <v>0</v>
      </c>
      <c r="AY109" s="117">
        <f t="shared" si="25"/>
        <v>0</v>
      </c>
      <c r="AZ109" s="117"/>
    </row>
    <row r="110" spans="44:52" s="14" customFormat="1" ht="14">
      <c r="AR110" s="117" t="str">
        <f t="shared" si="26"/>
        <v/>
      </c>
      <c r="AS110" s="183">
        <f t="shared" si="27"/>
        <v>0</v>
      </c>
      <c r="AT110" s="183"/>
      <c r="AU110" s="183">
        <f t="shared" si="21"/>
        <v>0</v>
      </c>
      <c r="AV110" s="183">
        <f t="shared" si="22"/>
        <v>0</v>
      </c>
      <c r="AW110" s="117">
        <f t="shared" si="23"/>
        <v>0</v>
      </c>
      <c r="AX110" s="184">
        <f t="shared" si="24"/>
        <v>0</v>
      </c>
      <c r="AY110" s="117">
        <f t="shared" si="25"/>
        <v>0</v>
      </c>
      <c r="AZ110" s="117"/>
    </row>
    <row r="111" spans="44:52" s="14" customFormat="1" ht="14">
      <c r="AR111" s="117" t="str">
        <f t="shared" si="26"/>
        <v/>
      </c>
      <c r="AS111" s="183">
        <f t="shared" si="27"/>
        <v>0</v>
      </c>
      <c r="AT111" s="183"/>
      <c r="AU111" s="183">
        <f t="shared" si="21"/>
        <v>0</v>
      </c>
      <c r="AV111" s="183">
        <f t="shared" si="22"/>
        <v>0</v>
      </c>
      <c r="AW111" s="117">
        <f t="shared" si="23"/>
        <v>0</v>
      </c>
      <c r="AX111" s="184">
        <f t="shared" si="24"/>
        <v>0</v>
      </c>
      <c r="AY111" s="117">
        <f t="shared" si="25"/>
        <v>0</v>
      </c>
      <c r="AZ111" s="117"/>
    </row>
    <row r="112" spans="44:52" s="14" customFormat="1" ht="14">
      <c r="AR112" s="117" t="str">
        <f t="shared" si="26"/>
        <v/>
      </c>
      <c r="AS112" s="183">
        <f t="shared" si="27"/>
        <v>0</v>
      </c>
      <c r="AT112" s="183"/>
      <c r="AU112" s="183">
        <f t="shared" si="21"/>
        <v>0</v>
      </c>
      <c r="AV112" s="183">
        <f t="shared" si="22"/>
        <v>0</v>
      </c>
      <c r="AW112" s="117">
        <f t="shared" si="23"/>
        <v>0</v>
      </c>
      <c r="AX112" s="184">
        <f t="shared" si="24"/>
        <v>0</v>
      </c>
      <c r="AY112" s="117">
        <f t="shared" si="25"/>
        <v>0</v>
      </c>
      <c r="AZ112" s="117"/>
    </row>
    <row r="113" spans="44:52" s="14" customFormat="1" ht="14">
      <c r="AR113" s="117" t="str">
        <f t="shared" si="26"/>
        <v/>
      </c>
      <c r="AS113" s="183">
        <f t="shared" si="27"/>
        <v>0</v>
      </c>
      <c r="AT113" s="183"/>
      <c r="AU113" s="183">
        <f t="shared" si="21"/>
        <v>0</v>
      </c>
      <c r="AV113" s="183">
        <f t="shared" si="22"/>
        <v>0</v>
      </c>
      <c r="AW113" s="117">
        <f t="shared" si="23"/>
        <v>0</v>
      </c>
      <c r="AX113" s="184">
        <f t="shared" si="24"/>
        <v>0</v>
      </c>
      <c r="AY113" s="117">
        <f t="shared" si="25"/>
        <v>0</v>
      </c>
      <c r="AZ113" s="117"/>
    </row>
    <row r="114" spans="44:52" s="14" customFormat="1" ht="14">
      <c r="AZ114" s="117"/>
    </row>
    <row r="115" spans="44:52" s="14" customFormat="1" ht="14">
      <c r="AZ115" s="117"/>
    </row>
    <row r="116" spans="44:52" s="14" customFormat="1" ht="14">
      <c r="AZ116" s="117"/>
    </row>
    <row r="117" spans="44:52" s="14" customFormat="1" ht="14">
      <c r="AZ117" s="117"/>
    </row>
    <row r="118" spans="44:52" ht="14">
      <c r="AZ118"/>
    </row>
  </sheetData>
  <mergeCells count="59">
    <mergeCell ref="S2:T3"/>
    <mergeCell ref="B4:D5"/>
    <mergeCell ref="F4:G5"/>
    <mergeCell ref="T4:U4"/>
    <mergeCell ref="V4:W4"/>
    <mergeCell ref="T5:U5"/>
    <mergeCell ref="V5:W5"/>
    <mergeCell ref="C6:D6"/>
    <mergeCell ref="I6:J6"/>
    <mergeCell ref="L6:M6"/>
    <mergeCell ref="T6:U6"/>
    <mergeCell ref="V6:W6"/>
    <mergeCell ref="T11:U11"/>
    <mergeCell ref="Q13:Q16"/>
    <mergeCell ref="T13:U13"/>
    <mergeCell ref="B14:B18"/>
    <mergeCell ref="C14:C15"/>
    <mergeCell ref="D14:D15"/>
    <mergeCell ref="F14:F15"/>
    <mergeCell ref="G14:G15"/>
    <mergeCell ref="T14:U14"/>
    <mergeCell ref="B7:B11"/>
    <mergeCell ref="T10:U10"/>
    <mergeCell ref="Q8:Q11"/>
    <mergeCell ref="T8:U8"/>
    <mergeCell ref="C9:D9"/>
    <mergeCell ref="T9:U9"/>
    <mergeCell ref="B23:E26"/>
    <mergeCell ref="Q25:Q28"/>
    <mergeCell ref="T15:U15"/>
    <mergeCell ref="C16:C17"/>
    <mergeCell ref="D16:D17"/>
    <mergeCell ref="F16:F17"/>
    <mergeCell ref="G16:G17"/>
    <mergeCell ref="S16:T16"/>
    <mergeCell ref="Q18:Q19"/>
    <mergeCell ref="T18:U18"/>
    <mergeCell ref="V18:W18"/>
    <mergeCell ref="T19:U19"/>
    <mergeCell ref="V19:W19"/>
    <mergeCell ref="R29:V29"/>
    <mergeCell ref="R30:V30"/>
    <mergeCell ref="F31:F33"/>
    <mergeCell ref="R31:V31"/>
    <mergeCell ref="F21:F24"/>
    <mergeCell ref="R21:S22"/>
    <mergeCell ref="U21:W22"/>
    <mergeCell ref="O36:P36"/>
    <mergeCell ref="D37:F37"/>
    <mergeCell ref="G37:Q37"/>
    <mergeCell ref="R37:T37"/>
    <mergeCell ref="B35:B37"/>
    <mergeCell ref="D35:F35"/>
    <mergeCell ref="H35:I35"/>
    <mergeCell ref="J35:N35"/>
    <mergeCell ref="O35:P35"/>
    <mergeCell ref="D36:F36"/>
    <mergeCell ref="H36:I36"/>
    <mergeCell ref="J36:N36"/>
  </mergeCells>
  <hyperlinks>
    <hyperlink ref="G37" r:id="rId1" location="Grantstructure"/>
  </hyperlinks>
  <pageMargins left="0.7" right="0.7" top="0.75" bottom="0.75" header="0.3" footer="0.3"/>
  <pageSetup orientation="portrait"/>
  <drawing r:id="rId2"/>
  <legacy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8"/>
  <sheetViews>
    <sheetView workbookViewId="0">
      <selection activeCell="K1" sqref="K1"/>
    </sheetView>
  </sheetViews>
  <sheetFormatPr baseColWidth="10" defaultColWidth="8.83203125" defaultRowHeight="11" x14ac:dyDescent="0"/>
  <cols>
    <col min="1" max="1" width="1.5" style="1" customWidth="1"/>
    <col min="2" max="2" width="9.33203125" style="1" customWidth="1"/>
    <col min="3" max="3" width="14.5" style="1" customWidth="1"/>
    <col min="4" max="4" width="5.83203125" style="1" customWidth="1"/>
    <col min="5" max="5" width="1.83203125" style="1" customWidth="1"/>
    <col min="6" max="6" width="18" style="1" customWidth="1"/>
    <col min="7" max="7" width="13.5" style="1" customWidth="1"/>
    <col min="8" max="8" width="1.33203125" style="1" customWidth="1"/>
    <col min="9" max="9" width="16.33203125" style="1" customWidth="1"/>
    <col min="10" max="10" width="8.5" style="1" customWidth="1"/>
    <col min="11" max="11" width="1.6640625" style="1" customWidth="1"/>
    <col min="12" max="12" width="22.83203125" style="1" customWidth="1"/>
    <col min="13" max="13" width="8.5" style="1" customWidth="1"/>
    <col min="14" max="14" width="0.83203125" style="1" customWidth="1"/>
    <col min="15" max="15" width="2.83203125" style="1" customWidth="1"/>
    <col min="16" max="16" width="2.6640625" style="1" customWidth="1"/>
    <col min="17" max="17" width="15.5" style="1" customWidth="1"/>
    <col min="18" max="18" width="30.83203125" style="1" customWidth="1"/>
    <col min="19" max="19" width="23.5" style="1" customWidth="1"/>
    <col min="20" max="20" width="1" style="1" customWidth="1"/>
    <col min="21" max="21" width="24.33203125" style="1" customWidth="1"/>
    <col min="22" max="22" width="10.6640625" style="1" customWidth="1"/>
    <col min="23" max="23" width="12.5" style="1" customWidth="1"/>
    <col min="24" max="24" width="13.6640625" style="1" customWidth="1"/>
    <col min="25" max="25" width="12.83203125" style="1" customWidth="1"/>
    <col min="26" max="16384" width="8.83203125" style="1"/>
  </cols>
  <sheetData>
    <row r="1" spans="1:53" ht="6" customHeight="1" thickBot="1">
      <c r="A1" s="54"/>
      <c r="B1" s="14"/>
      <c r="C1" s="14"/>
      <c r="D1" s="14"/>
      <c r="E1" s="14"/>
      <c r="F1" s="14"/>
      <c r="G1" s="14"/>
      <c r="H1" s="14"/>
      <c r="I1" s="14"/>
      <c r="J1" s="14"/>
      <c r="K1" s="14"/>
      <c r="L1" s="14"/>
      <c r="M1" s="14"/>
      <c r="N1" s="14"/>
      <c r="O1" s="14"/>
      <c r="P1" s="14"/>
      <c r="Q1" s="14"/>
      <c r="R1" s="25"/>
      <c r="S1" s="14"/>
      <c r="T1" s="14"/>
      <c r="U1" s="14"/>
      <c r="V1" s="14"/>
      <c r="W1" s="14"/>
      <c r="X1" s="14"/>
      <c r="Y1" s="14"/>
      <c r="Z1" s="14"/>
      <c r="AA1" s="14"/>
      <c r="AB1" s="14"/>
      <c r="AC1" s="14"/>
      <c r="AD1" s="14"/>
      <c r="AE1" s="14"/>
      <c r="AF1" s="14"/>
      <c r="AG1" s="14"/>
      <c r="AH1" s="14"/>
      <c r="AI1" s="14"/>
      <c r="AJ1" s="14"/>
      <c r="AK1" s="14"/>
      <c r="AL1" s="14"/>
      <c r="AM1" s="14"/>
      <c r="AN1" s="14"/>
      <c r="AO1" s="14"/>
      <c r="AP1" s="14"/>
    </row>
    <row r="2" spans="1:53" ht="10.25" customHeight="1">
      <c r="A2" s="14"/>
      <c r="B2" s="14"/>
      <c r="C2" s="222"/>
      <c r="D2" s="17"/>
      <c r="E2" s="17"/>
      <c r="F2" s="17"/>
      <c r="G2" s="17"/>
      <c r="H2" s="17"/>
      <c r="I2" s="17"/>
      <c r="J2" s="54"/>
      <c r="K2" s="54"/>
      <c r="L2" s="54"/>
      <c r="M2" s="54"/>
      <c r="N2" s="14"/>
      <c r="O2" s="14"/>
      <c r="P2" s="14"/>
      <c r="Q2" s="14"/>
      <c r="S2" s="302" t="s">
        <v>233</v>
      </c>
      <c r="T2" s="303"/>
      <c r="U2" s="195"/>
      <c r="V2" s="195"/>
      <c r="W2" s="195"/>
      <c r="X2" s="14"/>
      <c r="Y2" s="14"/>
      <c r="Z2" s="14"/>
      <c r="AA2" s="14"/>
      <c r="AB2" s="14"/>
      <c r="AC2" s="14"/>
      <c r="AD2" s="14"/>
      <c r="AE2" s="14"/>
      <c r="AF2" s="14"/>
      <c r="AG2" s="14"/>
      <c r="AH2" s="14"/>
      <c r="AI2" s="14"/>
      <c r="AJ2" s="14"/>
      <c r="AK2" s="14"/>
      <c r="AL2" s="14"/>
      <c r="AM2" s="14"/>
      <c r="AN2" s="14"/>
      <c r="AO2" s="14"/>
      <c r="AP2" s="14"/>
      <c r="AR2" t="s">
        <v>133</v>
      </c>
      <c r="AS2" t="s">
        <v>134</v>
      </c>
      <c r="AT2" t="s">
        <v>135</v>
      </c>
      <c r="AU2" t="s">
        <v>136</v>
      </c>
      <c r="AV2" t="s">
        <v>137</v>
      </c>
      <c r="AW2" t="s">
        <v>138</v>
      </c>
      <c r="AX2" t="s">
        <v>139</v>
      </c>
      <c r="AY2" t="s">
        <v>168</v>
      </c>
      <c r="AZ2" t="s">
        <v>141</v>
      </c>
    </row>
    <row r="3" spans="1:53" ht="10.25" customHeight="1" thickBot="1">
      <c r="A3" s="14"/>
      <c r="B3" s="222"/>
      <c r="C3" s="222"/>
      <c r="D3" s="17"/>
      <c r="E3" s="17"/>
      <c r="F3" s="17"/>
      <c r="G3" s="17"/>
      <c r="H3" s="17"/>
      <c r="I3" s="17"/>
      <c r="J3" s="54"/>
      <c r="K3" s="54"/>
      <c r="L3" s="54"/>
      <c r="M3" s="54"/>
      <c r="N3" s="14"/>
      <c r="O3" s="14"/>
      <c r="P3" s="14"/>
      <c r="Q3" s="14"/>
      <c r="R3" s="195"/>
      <c r="S3" s="304"/>
      <c r="T3" s="305"/>
      <c r="U3" s="195"/>
      <c r="V3" s="195"/>
      <c r="W3" s="195"/>
      <c r="X3" s="14"/>
      <c r="Y3" s="14"/>
      <c r="Z3" s="14"/>
      <c r="AA3" s="14"/>
      <c r="AB3" s="14"/>
      <c r="AC3" s="14"/>
      <c r="AD3" s="14"/>
      <c r="AE3" s="14"/>
      <c r="AF3" s="14"/>
      <c r="AG3" s="14"/>
      <c r="AH3" s="14"/>
      <c r="AI3" s="14"/>
      <c r="AJ3" s="14"/>
      <c r="AK3" s="14"/>
      <c r="AL3" s="14"/>
      <c r="AM3" s="14"/>
      <c r="AN3" s="14"/>
      <c r="AO3" s="14"/>
      <c r="AP3" s="14"/>
      <c r="AR3"/>
      <c r="AS3"/>
      <c r="AT3"/>
      <c r="AU3"/>
      <c r="AV3"/>
      <c r="AW3"/>
      <c r="AX3"/>
      <c r="AY3"/>
      <c r="AZ3"/>
    </row>
    <row r="4" spans="1:53" ht="40.75" customHeight="1">
      <c r="A4" s="14"/>
      <c r="B4" s="317" t="s">
        <v>295</v>
      </c>
      <c r="C4" s="317"/>
      <c r="D4" s="317"/>
      <c r="E4" s="224"/>
      <c r="F4" s="313" t="s">
        <v>232</v>
      </c>
      <c r="G4" s="314"/>
      <c r="H4" s="17"/>
      <c r="I4" s="14"/>
      <c r="J4" s="14"/>
      <c r="K4" s="14"/>
      <c r="L4" s="14"/>
      <c r="M4" s="14"/>
      <c r="N4" s="77"/>
      <c r="O4" s="77"/>
      <c r="P4" s="77"/>
      <c r="Q4" s="189"/>
      <c r="R4" s="212" t="s">
        <v>213</v>
      </c>
      <c r="S4" s="212" t="s">
        <v>30</v>
      </c>
      <c r="T4" s="298" t="s">
        <v>214</v>
      </c>
      <c r="U4" s="298"/>
      <c r="V4" s="298" t="s">
        <v>215</v>
      </c>
      <c r="W4" s="299"/>
      <c r="X4" s="14"/>
      <c r="Y4" s="14"/>
      <c r="Z4" s="14"/>
      <c r="AA4" s="14"/>
      <c r="AB4" s="14"/>
      <c r="AC4" s="14"/>
      <c r="AD4" s="14"/>
      <c r="AE4" s="14"/>
      <c r="AF4" s="14"/>
      <c r="AG4" s="14"/>
      <c r="AH4" s="14"/>
      <c r="AI4" s="14"/>
      <c r="AJ4" s="14"/>
      <c r="AK4" s="14"/>
      <c r="AL4" s="14"/>
      <c r="AM4" s="14"/>
      <c r="AN4" s="14"/>
      <c r="AO4" s="14"/>
      <c r="AP4" s="14"/>
      <c r="AR4">
        <v>0</v>
      </c>
      <c r="AS4" s="85">
        <f>Q36</f>
        <v>288</v>
      </c>
      <c r="AT4" s="85">
        <f>(1-$D$11)*AS4</f>
        <v>216</v>
      </c>
      <c r="AU4" s="85"/>
      <c r="AV4"/>
      <c r="AW4">
        <f>IF(ISNUMBER(AR5),SUM(AT4:AU4),SUM(AT4:AV4))</f>
        <v>216</v>
      </c>
      <c r="AX4" s="86">
        <f t="shared" ref="AX4:AX30" si="0">LN(AW4+$J$36)-LN($J$36)</f>
        <v>0.56272869303125006</v>
      </c>
      <c r="AY4">
        <f>IF(ISNUMBER(AR4),AX4/(1+$D$7)^AR4,0)</f>
        <v>0.56272869303125006</v>
      </c>
      <c r="AZ4"/>
    </row>
    <row r="5" spans="1:53" ht="10.75" customHeight="1" thickBot="1">
      <c r="A5" s="14"/>
      <c r="B5" s="318"/>
      <c r="C5" s="318"/>
      <c r="D5" s="318"/>
      <c r="E5" s="223"/>
      <c r="F5" s="315"/>
      <c r="G5" s="316"/>
      <c r="H5" s="27"/>
      <c r="I5" s="27"/>
      <c r="J5" s="14"/>
      <c r="K5" s="14"/>
      <c r="L5" s="14"/>
      <c r="M5" s="14"/>
      <c r="N5" s="14"/>
      <c r="O5" s="14"/>
      <c r="P5" s="14"/>
      <c r="Q5" s="206" t="s">
        <v>236</v>
      </c>
      <c r="R5" s="205">
        <f>D36/(1+D7)^10</f>
        <v>0.1553200531458121</v>
      </c>
      <c r="S5" s="205">
        <f>R5*(1-1/(1+D7)^G16)/(1-1/(1+D7))</f>
        <v>2.2985258299838089</v>
      </c>
      <c r="T5" s="300">
        <f>S5*G7*G9*G18*G8/G36</f>
        <v>5.7940018328430029E-2</v>
      </c>
      <c r="U5" s="300"/>
      <c r="V5" s="300">
        <f>G14*G11</f>
        <v>6.4014192141491587E-3</v>
      </c>
      <c r="W5" s="301"/>
      <c r="X5" s="14"/>
      <c r="Y5" s="14"/>
      <c r="Z5" s="14"/>
      <c r="AA5" s="14"/>
      <c r="AB5" s="14"/>
      <c r="AC5" s="14"/>
      <c r="AD5" s="14"/>
      <c r="AE5" s="14"/>
      <c r="AF5" s="14"/>
      <c r="AG5" s="14"/>
      <c r="AH5" s="14"/>
      <c r="AI5" s="14"/>
      <c r="AJ5" s="14"/>
      <c r="AK5" s="14"/>
      <c r="AL5" s="14"/>
      <c r="AM5" s="14"/>
      <c r="AN5" s="14"/>
      <c r="AO5" s="14"/>
      <c r="AP5" s="14"/>
      <c r="AR5">
        <f t="shared" ref="AR5:AR68" si="1">IF(AR4&lt;$D$14,AR4+1,"")</f>
        <v>1</v>
      </c>
      <c r="AS5" s="85">
        <f>AS4-AT4</f>
        <v>72</v>
      </c>
      <c r="AT5" s="85"/>
      <c r="AU5" s="85">
        <f t="shared" ref="AU5:AU70" si="2">$D$10*AS5</f>
        <v>7.2</v>
      </c>
      <c r="AV5" s="85">
        <f>AS5</f>
        <v>72</v>
      </c>
      <c r="AW5">
        <f t="shared" ref="AW5:AW14" si="3">IF(ISNUMBER(AR6),SUM(AT5:AU5),SUM(AT5:AV5))</f>
        <v>7.2</v>
      </c>
      <c r="AX5" s="86">
        <f t="shared" si="0"/>
        <v>2.4870030074646721E-2</v>
      </c>
      <c r="AY5">
        <f t="shared" ref="AY5:AY70" si="4">IF(ISNUMBER(AR5),AX5/(1+$D$7)^AR5,0)</f>
        <v>2.3685742928234971E-2</v>
      </c>
      <c r="AZ5">
        <f>SUM(AY5:AY113)</f>
        <v>0.3637949199423417</v>
      </c>
      <c r="BA5" s="1">
        <f>SUM(AY5:AY23)</f>
        <v>0.3637949199423417</v>
      </c>
    </row>
    <row r="6" spans="1:53" ht="14">
      <c r="A6" s="14"/>
      <c r="B6" s="10"/>
      <c r="C6" s="311" t="s">
        <v>12</v>
      </c>
      <c r="D6" s="311"/>
      <c r="E6" s="49"/>
      <c r="F6" s="23" t="s">
        <v>13</v>
      </c>
      <c r="G6" s="24"/>
      <c r="H6" s="50"/>
      <c r="I6" s="311" t="s">
        <v>40</v>
      </c>
      <c r="J6" s="311"/>
      <c r="K6" s="159"/>
      <c r="L6" s="312" t="s">
        <v>210</v>
      </c>
      <c r="M6" s="312"/>
      <c r="N6" s="11"/>
      <c r="O6" s="6"/>
      <c r="P6" s="14"/>
      <c r="Q6" s="206" t="s">
        <v>237</v>
      </c>
      <c r="R6" s="205">
        <f>(M15*M11)/(1+D7)^10</f>
        <v>1.65756578456005E-2</v>
      </c>
      <c r="S6" s="205">
        <f>R6*(1-1/(1+D7)^G16)/(1-1/(1+D7))</f>
        <v>0.24529722296269896</v>
      </c>
      <c r="T6" s="300">
        <f>S6*M8*M9*M14*(W36/V36)</f>
        <v>3.1575966791614414E-3</v>
      </c>
      <c r="U6" s="300"/>
      <c r="V6" s="300">
        <v>0</v>
      </c>
      <c r="W6" s="301"/>
      <c r="X6" s="14"/>
      <c r="Y6" s="14"/>
      <c r="Z6" s="14"/>
      <c r="AA6" s="14"/>
      <c r="AB6" s="14"/>
      <c r="AC6" s="14"/>
      <c r="AD6" s="14"/>
      <c r="AE6" s="14"/>
      <c r="AF6" s="14"/>
      <c r="AG6" s="14"/>
      <c r="AH6" s="14"/>
      <c r="AI6" s="14"/>
      <c r="AJ6" s="14"/>
      <c r="AK6" s="14"/>
      <c r="AL6" s="14"/>
      <c r="AM6" s="14"/>
      <c r="AN6" s="14"/>
      <c r="AO6" s="14"/>
      <c r="AP6" s="14"/>
      <c r="AR6">
        <f t="shared" si="1"/>
        <v>2</v>
      </c>
      <c r="AS6" s="85">
        <f t="shared" ref="AS6:AS71" si="5">IF(ISNUMBER(AR6),AV5,0)</f>
        <v>72</v>
      </c>
      <c r="AT6" s="85"/>
      <c r="AU6" s="85">
        <f t="shared" si="2"/>
        <v>7.2</v>
      </c>
      <c r="AV6" s="85">
        <f t="shared" ref="AV6:AV71" si="6">AS6</f>
        <v>72</v>
      </c>
      <c r="AW6">
        <f t="shared" si="3"/>
        <v>7.2</v>
      </c>
      <c r="AX6" s="86">
        <f t="shared" si="0"/>
        <v>2.4870030074646721E-2</v>
      </c>
      <c r="AY6">
        <f t="shared" si="4"/>
        <v>2.255785040784283E-2</v>
      </c>
      <c r="AZ6"/>
    </row>
    <row r="7" spans="1:53" ht="20.5" customHeight="1">
      <c r="A7" s="14"/>
      <c r="B7" s="306" t="s">
        <v>47</v>
      </c>
      <c r="C7" s="139" t="s">
        <v>0</v>
      </c>
      <c r="D7" s="179">
        <v>0.05</v>
      </c>
      <c r="E7" s="2"/>
      <c r="F7" s="174" t="s">
        <v>4</v>
      </c>
      <c r="G7" s="175">
        <v>0.45</v>
      </c>
      <c r="H7" s="4"/>
      <c r="I7" s="174" t="s">
        <v>8</v>
      </c>
      <c r="J7" s="175">
        <v>0.28566565514135123</v>
      </c>
      <c r="K7" s="160"/>
      <c r="L7" s="174" t="s">
        <v>217</v>
      </c>
      <c r="M7" s="180">
        <v>7.4999999999999997E-2</v>
      </c>
      <c r="N7" s="12"/>
      <c r="O7" s="6"/>
      <c r="P7" s="14"/>
      <c r="Q7" s="15"/>
      <c r="R7" s="6"/>
      <c r="S7" s="6"/>
      <c r="T7" s="6"/>
      <c r="U7" s="164"/>
      <c r="V7" s="6"/>
      <c r="W7" s="12"/>
      <c r="X7" s="14"/>
      <c r="Y7" s="14"/>
      <c r="Z7" s="14"/>
      <c r="AA7" s="14"/>
      <c r="AB7" s="14"/>
      <c r="AC7" s="14"/>
      <c r="AD7" s="14"/>
      <c r="AE7" s="14"/>
      <c r="AF7" s="14"/>
      <c r="AG7" s="14"/>
      <c r="AH7" s="14"/>
      <c r="AI7" s="14"/>
      <c r="AJ7" s="14"/>
      <c r="AK7" s="14"/>
      <c r="AL7" s="14"/>
      <c r="AM7" s="14"/>
      <c r="AN7" s="14"/>
      <c r="AO7" s="14"/>
      <c r="AP7" s="14"/>
      <c r="AR7">
        <f t="shared" si="1"/>
        <v>3</v>
      </c>
      <c r="AS7" s="85">
        <f>IF(ISNUMBER(AR7),AV6,0)</f>
        <v>72</v>
      </c>
      <c r="AT7" s="85"/>
      <c r="AU7" s="85">
        <f t="shared" si="2"/>
        <v>7.2</v>
      </c>
      <c r="AV7" s="85">
        <f t="shared" si="6"/>
        <v>72</v>
      </c>
      <c r="AW7">
        <f t="shared" si="3"/>
        <v>7.2</v>
      </c>
      <c r="AX7" s="86">
        <f t="shared" si="0"/>
        <v>2.4870030074646721E-2</v>
      </c>
      <c r="AY7">
        <f t="shared" si="4"/>
        <v>2.1483667055088407E-2</v>
      </c>
      <c r="AZ7"/>
    </row>
    <row r="8" spans="1:53" ht="20.5" customHeight="1">
      <c r="A8" s="14"/>
      <c r="B8" s="306"/>
      <c r="C8" s="127"/>
      <c r="D8" s="127"/>
      <c r="E8" s="51"/>
      <c r="F8" s="178" t="s">
        <v>6</v>
      </c>
      <c r="G8" s="13">
        <v>0.6</v>
      </c>
      <c r="H8" s="5"/>
      <c r="I8" s="153" t="s">
        <v>9</v>
      </c>
      <c r="J8" s="255">
        <v>0.28968942705046552</v>
      </c>
      <c r="K8" s="161"/>
      <c r="L8" s="153" t="s">
        <v>211</v>
      </c>
      <c r="M8" s="154">
        <v>0.8</v>
      </c>
      <c r="N8" s="12"/>
      <c r="O8" s="6"/>
      <c r="P8" s="14"/>
      <c r="Q8" s="309" t="s">
        <v>238</v>
      </c>
      <c r="R8" s="6"/>
      <c r="S8" s="207" t="s">
        <v>31</v>
      </c>
      <c r="T8" s="319" t="s">
        <v>34</v>
      </c>
      <c r="U8" s="319"/>
      <c r="V8" s="97"/>
      <c r="W8" s="12"/>
      <c r="X8" s="14"/>
      <c r="Y8" s="14"/>
      <c r="Z8" s="14"/>
      <c r="AA8" s="14"/>
      <c r="AB8" s="14"/>
      <c r="AC8" s="14"/>
      <c r="AD8" s="14"/>
      <c r="AE8" s="14"/>
      <c r="AF8" s="14"/>
      <c r="AG8" s="14"/>
      <c r="AH8" s="14"/>
      <c r="AI8" s="14"/>
      <c r="AJ8" s="14"/>
      <c r="AK8" s="14"/>
      <c r="AL8" s="14"/>
      <c r="AM8" s="14"/>
      <c r="AN8" s="14"/>
      <c r="AO8" s="14"/>
      <c r="AP8" s="14"/>
      <c r="AR8">
        <f t="shared" si="1"/>
        <v>4</v>
      </c>
      <c r="AS8" s="85">
        <f t="shared" si="5"/>
        <v>72</v>
      </c>
      <c r="AT8" s="85"/>
      <c r="AU8" s="85">
        <f t="shared" si="2"/>
        <v>7.2</v>
      </c>
      <c r="AV8" s="85">
        <f t="shared" si="6"/>
        <v>72</v>
      </c>
      <c r="AW8">
        <f t="shared" si="3"/>
        <v>7.2</v>
      </c>
      <c r="AX8" s="86">
        <f t="shared" si="0"/>
        <v>2.4870030074646721E-2</v>
      </c>
      <c r="AY8">
        <f t="shared" si="4"/>
        <v>2.046063529056039E-2</v>
      </c>
      <c r="AZ8"/>
    </row>
    <row r="9" spans="1:53" ht="33">
      <c r="A9" s="14"/>
      <c r="B9" s="306"/>
      <c r="C9" s="307" t="s">
        <v>14</v>
      </c>
      <c r="D9" s="307"/>
      <c r="E9" s="2"/>
      <c r="F9" s="153" t="s">
        <v>177</v>
      </c>
      <c r="G9" s="154">
        <v>0.75</v>
      </c>
      <c r="H9" s="5"/>
      <c r="I9" s="153" t="s">
        <v>204</v>
      </c>
      <c r="J9" s="154">
        <v>1.5</v>
      </c>
      <c r="K9" s="161"/>
      <c r="L9" s="153" t="s">
        <v>212</v>
      </c>
      <c r="M9" s="154">
        <v>0.7</v>
      </c>
      <c r="N9" s="12"/>
      <c r="O9" s="6"/>
      <c r="P9" s="14"/>
      <c r="Q9" s="309"/>
      <c r="R9" s="21" t="s">
        <v>46</v>
      </c>
      <c r="S9" s="125">
        <f>($V$5+$T$5*J14)*J7*J11</f>
        <v>1.3379993263094343E-2</v>
      </c>
      <c r="T9" s="308">
        <f>J12*S9/(J16/J9)</f>
        <v>5.3519973052377379E-2</v>
      </c>
      <c r="U9" s="308"/>
      <c r="V9" s="99"/>
      <c r="W9" s="12"/>
      <c r="X9" s="14"/>
      <c r="Y9" s="14"/>
      <c r="Z9" s="14"/>
      <c r="AA9" s="14"/>
      <c r="AB9" s="14"/>
      <c r="AC9" s="14"/>
      <c r="AD9" s="14"/>
      <c r="AE9" s="14"/>
      <c r="AF9" s="14"/>
      <c r="AG9" s="14"/>
      <c r="AH9" s="14"/>
      <c r="AI9" s="14"/>
      <c r="AJ9" s="14"/>
      <c r="AK9" s="14"/>
      <c r="AL9" s="14"/>
      <c r="AM9" s="14"/>
      <c r="AN9" s="14"/>
      <c r="AO9" s="14"/>
      <c r="AP9" s="14"/>
      <c r="AR9">
        <f t="shared" si="1"/>
        <v>5</v>
      </c>
      <c r="AS9" s="85">
        <f t="shared" si="5"/>
        <v>72</v>
      </c>
      <c r="AT9" s="85"/>
      <c r="AU9" s="85">
        <f t="shared" si="2"/>
        <v>7.2</v>
      </c>
      <c r="AV9" s="85">
        <f t="shared" si="6"/>
        <v>72</v>
      </c>
      <c r="AW9">
        <f>IF(ISNUMBER(AR10),SUM(AT9:AU9),SUM(AT9:AV9))</f>
        <v>7.2</v>
      </c>
      <c r="AX9" s="86">
        <f t="shared" si="0"/>
        <v>2.4870030074646721E-2</v>
      </c>
      <c r="AY9">
        <f t="shared" si="4"/>
        <v>1.9486319324343228E-2</v>
      </c>
      <c r="AZ9"/>
    </row>
    <row r="10" spans="1:53" ht="26.5" customHeight="1">
      <c r="A10" s="14"/>
      <c r="B10" s="306"/>
      <c r="C10" s="121" t="s">
        <v>3</v>
      </c>
      <c r="D10" s="122">
        <v>0.1</v>
      </c>
      <c r="E10" s="112"/>
      <c r="F10" s="126" t="s">
        <v>176</v>
      </c>
      <c r="G10" s="140">
        <v>2.4E-2</v>
      </c>
      <c r="H10" s="113"/>
      <c r="I10" s="153" t="s">
        <v>205</v>
      </c>
      <c r="J10" s="154">
        <v>1.4084507042253522</v>
      </c>
      <c r="K10" s="161"/>
      <c r="L10" s="153" t="s">
        <v>227</v>
      </c>
      <c r="M10" s="154">
        <v>1</v>
      </c>
      <c r="N10" s="12"/>
      <c r="O10" s="6"/>
      <c r="P10" s="14"/>
      <c r="Q10" s="309"/>
      <c r="R10" s="21" t="s">
        <v>45</v>
      </c>
      <c r="S10" s="210">
        <f>($V$5+$T$5*J15)*J8*J18</f>
        <v>1.696057310602744E-2</v>
      </c>
      <c r="T10" s="308">
        <f>S10/(J17/J10)</f>
        <v>2.3888131135249915E-2</v>
      </c>
      <c r="U10" s="308"/>
      <c r="V10" s="99"/>
      <c r="W10" s="12"/>
      <c r="X10" s="14"/>
      <c r="Y10" s="14"/>
      <c r="Z10" s="14"/>
      <c r="AA10" s="14"/>
      <c r="AB10" s="14"/>
      <c r="AC10" s="14"/>
      <c r="AD10" s="14"/>
      <c r="AE10" s="14"/>
      <c r="AF10" s="14"/>
      <c r="AG10" s="14"/>
      <c r="AH10" s="14"/>
      <c r="AI10" s="14"/>
      <c r="AJ10" s="14"/>
      <c r="AK10" s="14"/>
      <c r="AL10" s="14"/>
      <c r="AM10" s="14"/>
      <c r="AN10" s="14"/>
      <c r="AO10" s="14"/>
      <c r="AP10" s="14"/>
      <c r="AR10">
        <f t="shared" si="1"/>
        <v>6</v>
      </c>
      <c r="AS10" s="85">
        <f>IF(ISNUMBER(AR10),AV9,0)</f>
        <v>72</v>
      </c>
      <c r="AT10" s="85"/>
      <c r="AU10" s="85">
        <f t="shared" si="2"/>
        <v>7.2</v>
      </c>
      <c r="AV10" s="85">
        <f t="shared" si="6"/>
        <v>72</v>
      </c>
      <c r="AW10">
        <f>IF(ISNUMBER(AR11),SUM(AT10:AU10),SUM(AT10:AV10))</f>
        <v>7.2</v>
      </c>
      <c r="AX10" s="86">
        <f t="shared" si="0"/>
        <v>2.4870030074646721E-2</v>
      </c>
      <c r="AY10">
        <f t="shared" si="4"/>
        <v>1.8558399356517361E-2</v>
      </c>
      <c r="AZ10"/>
    </row>
    <row r="11" spans="1:53" ht="33" customHeight="1">
      <c r="A11" s="14"/>
      <c r="B11" s="306"/>
      <c r="C11" s="134" t="s">
        <v>5</v>
      </c>
      <c r="D11" s="135">
        <v>0.25</v>
      </c>
      <c r="E11" s="3"/>
      <c r="F11" s="153" t="s">
        <v>186</v>
      </c>
      <c r="G11" s="136">
        <v>3</v>
      </c>
      <c r="H11" s="6"/>
      <c r="I11" s="153" t="s">
        <v>107</v>
      </c>
      <c r="J11" s="154">
        <v>0.8</v>
      </c>
      <c r="K11" s="161"/>
      <c r="L11" s="153" t="s">
        <v>226</v>
      </c>
      <c r="M11" s="154">
        <v>1</v>
      </c>
      <c r="N11" s="12"/>
      <c r="O11" s="14"/>
      <c r="P11" s="14"/>
      <c r="Q11" s="309"/>
      <c r="R11" s="21" t="s">
        <v>216</v>
      </c>
      <c r="S11" s="210">
        <f>T6*M12</f>
        <v>2.0840138082465513E-3</v>
      </c>
      <c r="T11" s="308">
        <f>M13*S11/(M7/M10)</f>
        <v>1.3893425388310343E-2</v>
      </c>
      <c r="U11" s="308"/>
      <c r="V11" s="99"/>
      <c r="W11" s="12"/>
      <c r="X11" s="14"/>
      <c r="Y11" s="14"/>
      <c r="Z11" s="14"/>
      <c r="AA11" s="14"/>
      <c r="AB11" s="14"/>
      <c r="AC11" s="14"/>
      <c r="AD11" s="14"/>
      <c r="AE11" s="14"/>
      <c r="AF11" s="14"/>
      <c r="AG11" s="14"/>
      <c r="AH11" s="14"/>
      <c r="AI11" s="14"/>
      <c r="AJ11" s="14"/>
      <c r="AK11" s="14"/>
      <c r="AL11" s="14"/>
      <c r="AM11" s="14"/>
      <c r="AN11" s="14"/>
      <c r="AO11" s="14"/>
      <c r="AP11" s="14"/>
      <c r="AR11">
        <f t="shared" si="1"/>
        <v>7</v>
      </c>
      <c r="AS11" s="85">
        <f>IF(ISNUMBER(AR11),AV10,0)</f>
        <v>72</v>
      </c>
      <c r="AT11" s="85"/>
      <c r="AU11" s="85">
        <f t="shared" si="2"/>
        <v>7.2</v>
      </c>
      <c r="AV11" s="85">
        <f t="shared" si="6"/>
        <v>72</v>
      </c>
      <c r="AW11">
        <f>IF(ISNUMBER(AR12),SUM(AT11:AU11),SUM(AT11:AV11))</f>
        <v>7.2</v>
      </c>
      <c r="AX11" s="86">
        <f t="shared" si="0"/>
        <v>2.4870030074646721E-2</v>
      </c>
      <c r="AY11">
        <f t="shared" si="4"/>
        <v>1.7674666053826057E-2</v>
      </c>
      <c r="AZ11"/>
    </row>
    <row r="12" spans="1:53" ht="28.75" customHeight="1">
      <c r="A12" s="14"/>
      <c r="B12" s="15"/>
      <c r="C12" s="9"/>
      <c r="D12" s="8"/>
      <c r="E12" s="2"/>
      <c r="F12" s="52"/>
      <c r="G12" s="53"/>
      <c r="H12" s="9"/>
      <c r="I12" s="153" t="s">
        <v>330</v>
      </c>
      <c r="J12" s="154">
        <v>0.8</v>
      </c>
      <c r="K12" s="6"/>
      <c r="L12" s="153" t="s">
        <v>219</v>
      </c>
      <c r="M12" s="154">
        <v>0.66</v>
      </c>
      <c r="N12" s="12"/>
      <c r="O12" s="6"/>
      <c r="P12" s="14"/>
      <c r="Q12" s="123"/>
      <c r="R12" s="21"/>
      <c r="S12" s="124"/>
      <c r="T12" s="99"/>
      <c r="U12" s="99"/>
      <c r="V12" s="99"/>
      <c r="W12" s="12"/>
      <c r="X12" s="14"/>
      <c r="Y12" s="14"/>
      <c r="Z12" s="14"/>
      <c r="AA12" s="14"/>
      <c r="AB12" s="14"/>
      <c r="AC12" s="14"/>
      <c r="AD12" s="14"/>
      <c r="AE12" s="14"/>
      <c r="AF12" s="14"/>
      <c r="AG12" s="14"/>
      <c r="AH12" s="14"/>
      <c r="AI12" s="14"/>
      <c r="AJ12" s="14"/>
      <c r="AK12" s="14"/>
      <c r="AL12" s="14"/>
      <c r="AM12" s="14"/>
      <c r="AN12" s="14"/>
      <c r="AO12" s="14"/>
      <c r="AP12" s="14"/>
      <c r="AR12">
        <f t="shared" si="1"/>
        <v>8</v>
      </c>
      <c r="AS12" s="85">
        <f>IF(ISNUMBER(AR12),AV11,0)</f>
        <v>72</v>
      </c>
      <c r="AT12" s="85"/>
      <c r="AU12" s="85">
        <f t="shared" si="2"/>
        <v>7.2</v>
      </c>
      <c r="AV12" s="85">
        <f t="shared" si="6"/>
        <v>72</v>
      </c>
      <c r="AW12">
        <f>IF(ISNUMBER(AR13),SUM(AT12:AU12),SUM(AT12:AV12))</f>
        <v>7.2</v>
      </c>
      <c r="AX12" s="86">
        <f t="shared" si="0"/>
        <v>2.4870030074646721E-2</v>
      </c>
      <c r="AY12">
        <f t="shared" si="4"/>
        <v>1.6833015289358148E-2</v>
      </c>
      <c r="AZ12"/>
    </row>
    <row r="13" spans="1:53" ht="24" customHeight="1">
      <c r="A13" s="14"/>
      <c r="B13" s="15"/>
      <c r="C13" s="9"/>
      <c r="D13" s="8"/>
      <c r="E13" s="2"/>
      <c r="F13" s="52"/>
      <c r="G13" s="53"/>
      <c r="H13" s="6"/>
      <c r="I13" s="9"/>
      <c r="J13" s="8"/>
      <c r="K13" s="6"/>
      <c r="L13" s="153" t="s">
        <v>218</v>
      </c>
      <c r="M13" s="154">
        <v>0.5</v>
      </c>
      <c r="N13" s="12"/>
      <c r="O13" s="6"/>
      <c r="P13" s="14"/>
      <c r="Q13" s="309" t="s">
        <v>239</v>
      </c>
      <c r="R13" s="48"/>
      <c r="S13" s="207" t="s">
        <v>173</v>
      </c>
      <c r="T13" s="319" t="s">
        <v>174</v>
      </c>
      <c r="U13" s="319"/>
      <c r="V13" s="207" t="s">
        <v>175</v>
      </c>
      <c r="W13" s="209" t="s">
        <v>184</v>
      </c>
      <c r="X13" s="14"/>
      <c r="Y13" s="14"/>
      <c r="Z13" s="14"/>
      <c r="AA13" s="14"/>
      <c r="AB13" s="14"/>
      <c r="AC13" s="14"/>
      <c r="AD13" s="14"/>
      <c r="AE13" s="14"/>
      <c r="AF13" s="14"/>
      <c r="AG13" s="14"/>
      <c r="AH13" s="14"/>
      <c r="AI13" s="14"/>
      <c r="AJ13" s="14"/>
      <c r="AK13" s="14"/>
      <c r="AL13" s="14"/>
      <c r="AM13" s="14"/>
      <c r="AN13" s="14"/>
      <c r="AO13" s="14"/>
      <c r="AP13" s="14"/>
      <c r="AR13">
        <f t="shared" si="1"/>
        <v>9</v>
      </c>
      <c r="AS13" s="85">
        <f>IF(ISNUMBER(AR13),AV12,0)</f>
        <v>72</v>
      </c>
      <c r="AT13" s="85"/>
      <c r="AU13" s="85">
        <f t="shared" si="2"/>
        <v>7.2</v>
      </c>
      <c r="AV13" s="85">
        <f t="shared" si="6"/>
        <v>72</v>
      </c>
      <c r="AW13">
        <f t="shared" si="3"/>
        <v>7.2</v>
      </c>
      <c r="AX13" s="86">
        <f t="shared" si="0"/>
        <v>2.4870030074646721E-2</v>
      </c>
      <c r="AY13">
        <f t="shared" si="4"/>
        <v>1.6031443132722048E-2</v>
      </c>
      <c r="AZ13"/>
    </row>
    <row r="14" spans="1:53" ht="21" customHeight="1">
      <c r="A14" s="14"/>
      <c r="B14" s="357" t="s">
        <v>296</v>
      </c>
      <c r="C14" s="358" t="s">
        <v>1</v>
      </c>
      <c r="D14" s="359">
        <v>15</v>
      </c>
      <c r="E14" s="3"/>
      <c r="F14" s="358" t="s">
        <v>2</v>
      </c>
      <c r="G14" s="359">
        <v>2.1338064047163861E-3</v>
      </c>
      <c r="H14" s="6"/>
      <c r="I14" s="128" t="s">
        <v>11</v>
      </c>
      <c r="J14" s="129">
        <v>0.9</v>
      </c>
      <c r="K14" s="162"/>
      <c r="L14" s="153" t="s">
        <v>220</v>
      </c>
      <c r="M14" s="154">
        <v>0.8</v>
      </c>
      <c r="N14" s="12"/>
      <c r="O14" s="6"/>
      <c r="P14" s="14"/>
      <c r="Q14" s="309"/>
      <c r="R14" s="21" t="s">
        <v>46</v>
      </c>
      <c r="S14" s="210">
        <f>(1000/(J16/J9))*J14*J11*J12*G9*G10*G7*J7*G8*G18*(1/G36)</f>
        <v>0.49772676869906202</v>
      </c>
      <c r="T14" s="325">
        <f>(((1000/(J16/J9))*G14)/U36)*J7*J11</f>
        <v>6.6754847862901312E-2</v>
      </c>
      <c r="U14" s="325"/>
      <c r="V14" s="210">
        <f>S14+T14</f>
        <v>0.56448161656196327</v>
      </c>
      <c r="W14" s="192">
        <f>1000/V14</f>
        <v>1771.5368767730804</v>
      </c>
      <c r="X14" s="14"/>
      <c r="Y14" s="14"/>
      <c r="Z14" s="14"/>
      <c r="AA14" s="14"/>
      <c r="AB14" s="14"/>
      <c r="AC14" s="14"/>
      <c r="AD14" s="14"/>
      <c r="AE14" s="14"/>
      <c r="AF14" s="14"/>
      <c r="AG14" s="14"/>
      <c r="AH14" s="14"/>
      <c r="AI14" s="14"/>
      <c r="AJ14" s="14"/>
      <c r="AK14" s="14"/>
      <c r="AL14" s="14"/>
      <c r="AM14" s="14"/>
      <c r="AN14" s="14"/>
      <c r="AO14" s="14"/>
      <c r="AP14" s="14"/>
      <c r="AR14">
        <f t="shared" si="1"/>
        <v>10</v>
      </c>
      <c r="AS14" s="85">
        <f t="shared" si="5"/>
        <v>72</v>
      </c>
      <c r="AT14" s="85"/>
      <c r="AU14" s="85">
        <f t="shared" si="2"/>
        <v>7.2</v>
      </c>
      <c r="AV14" s="85">
        <f t="shared" si="6"/>
        <v>72</v>
      </c>
      <c r="AW14">
        <f t="shared" si="3"/>
        <v>7.2</v>
      </c>
      <c r="AX14" s="86">
        <f t="shared" si="0"/>
        <v>2.4870030074646721E-2</v>
      </c>
      <c r="AY14">
        <f t="shared" si="4"/>
        <v>1.5268041078782902E-2</v>
      </c>
      <c r="AZ14"/>
    </row>
    <row r="15" spans="1:53" ht="21" customHeight="1">
      <c r="A15" s="14"/>
      <c r="B15" s="357"/>
      <c r="C15" s="354"/>
      <c r="D15" s="359"/>
      <c r="E15" s="3"/>
      <c r="F15" s="354"/>
      <c r="G15" s="363"/>
      <c r="H15" s="6"/>
      <c r="I15" s="137" t="s">
        <v>10</v>
      </c>
      <c r="J15" s="138">
        <v>0.9</v>
      </c>
      <c r="K15" s="162"/>
      <c r="L15" s="176" t="s">
        <v>224</v>
      </c>
      <c r="M15" s="241">
        <v>2.6999999999999996E-2</v>
      </c>
      <c r="N15" s="12"/>
      <c r="O15" s="6"/>
      <c r="P15" s="14"/>
      <c r="Q15" s="309"/>
      <c r="R15" s="21" t="s">
        <v>45</v>
      </c>
      <c r="S15" s="191">
        <f>(1000/(J17/J10))*J15*J8*G10*G7*G8*J18*G9*G18*(1/G36)</f>
        <v>0.22215561111309737</v>
      </c>
      <c r="T15" s="326">
        <f>(((1000/(J17/J10))*G14)/U36)*J18*J8</f>
        <v>2.3836313341967345E-2</v>
      </c>
      <c r="U15" s="326"/>
      <c r="V15" s="210">
        <f>S15+T15</f>
        <v>0.24599192445506471</v>
      </c>
      <c r="W15" s="192">
        <f>1000/V15</f>
        <v>4065.1740995776868</v>
      </c>
      <c r="X15" s="14"/>
      <c r="Y15" s="14"/>
      <c r="Z15" s="14"/>
      <c r="AA15" s="14"/>
      <c r="AB15" s="14"/>
      <c r="AC15" s="14"/>
      <c r="AD15" s="14"/>
      <c r="AE15" s="14"/>
      <c r="AF15" s="14"/>
      <c r="AG15" s="14"/>
      <c r="AH15" s="14"/>
      <c r="AI15" s="14"/>
      <c r="AJ15" s="14"/>
      <c r="AK15" s="14"/>
      <c r="AL15" s="14"/>
      <c r="AM15" s="14"/>
      <c r="AN15" s="14"/>
      <c r="AO15" s="14"/>
      <c r="AP15" s="14"/>
      <c r="AR15">
        <f t="shared" si="1"/>
        <v>11</v>
      </c>
      <c r="AS15" s="85">
        <f t="shared" si="5"/>
        <v>72</v>
      </c>
      <c r="AT15" s="85"/>
      <c r="AU15" s="85">
        <f t="shared" si="2"/>
        <v>7.2</v>
      </c>
      <c r="AV15" s="85">
        <f t="shared" si="6"/>
        <v>72</v>
      </c>
      <c r="AW15">
        <f>IF(ISNUMBER(AR16),SUM(AT15:AU15),SUM(AT15:AV15))</f>
        <v>7.2</v>
      </c>
      <c r="AX15" s="86">
        <f t="shared" si="0"/>
        <v>2.4870030074646721E-2</v>
      </c>
      <c r="AY15">
        <f t="shared" si="4"/>
        <v>1.4540991503602762E-2</v>
      </c>
      <c r="AZ15"/>
    </row>
    <row r="16" spans="1:53" ht="21" customHeight="1">
      <c r="A16" s="14"/>
      <c r="B16" s="357"/>
      <c r="C16" s="353" t="s">
        <v>19</v>
      </c>
      <c r="D16" s="360">
        <v>0.80400000000000005</v>
      </c>
      <c r="E16" s="3"/>
      <c r="F16" s="353" t="s">
        <v>303</v>
      </c>
      <c r="G16" s="355">
        <v>25</v>
      </c>
      <c r="H16" s="6"/>
      <c r="I16" s="132" t="s">
        <v>28</v>
      </c>
      <c r="J16" s="130">
        <v>0.3</v>
      </c>
      <c r="K16" s="163"/>
      <c r="L16" s="6"/>
      <c r="M16" s="6"/>
      <c r="N16" s="12"/>
      <c r="O16" s="6"/>
      <c r="P16" s="14"/>
      <c r="Q16" s="309"/>
      <c r="R16" s="21" t="s">
        <v>210</v>
      </c>
      <c r="S16" s="367">
        <f>(1000/(M7/M10))*M9*M8*(1/V36)*W36*M12*M14*M11*(M15/D36)*M13*G10</f>
        <v>0.1450678539130435</v>
      </c>
      <c r="T16" s="367"/>
      <c r="U16" s="211">
        <v>0</v>
      </c>
      <c r="V16" s="210">
        <f>S16+U16</f>
        <v>0.1450678539130435</v>
      </c>
      <c r="W16" s="192">
        <f>1000/V16</f>
        <v>6893.3259369744283</v>
      </c>
      <c r="X16" s="14"/>
      <c r="Y16" s="14"/>
      <c r="Z16" s="14"/>
      <c r="AA16" s="14"/>
      <c r="AB16" s="14"/>
      <c r="AC16" s="14"/>
      <c r="AD16" s="14"/>
      <c r="AE16" s="14"/>
      <c r="AF16" s="14"/>
      <c r="AG16" s="14"/>
      <c r="AH16" s="14"/>
      <c r="AI16" s="14"/>
      <c r="AJ16" s="14"/>
      <c r="AK16" s="14"/>
      <c r="AL16" s="14"/>
      <c r="AM16" s="14"/>
      <c r="AN16" s="14"/>
      <c r="AO16" s="14"/>
      <c r="AP16" s="14"/>
      <c r="AR16">
        <f t="shared" si="1"/>
        <v>12</v>
      </c>
      <c r="AS16" s="85">
        <f t="shared" si="5"/>
        <v>72</v>
      </c>
      <c r="AT16" s="85"/>
      <c r="AU16" s="85">
        <f t="shared" si="2"/>
        <v>7.2</v>
      </c>
      <c r="AV16" s="85">
        <f t="shared" si="6"/>
        <v>72</v>
      </c>
      <c r="AW16">
        <f t="shared" ref="AW16:AW80" si="7">IF(ISNUMBER(AR17),SUM(AT16:AU16),SUM(AT16:AV16))</f>
        <v>7.2</v>
      </c>
      <c r="AX16" s="86">
        <f t="shared" si="0"/>
        <v>2.4870030074646721E-2</v>
      </c>
      <c r="AY16">
        <f t="shared" si="4"/>
        <v>1.3848563336764538E-2</v>
      </c>
      <c r="AZ16"/>
    </row>
    <row r="17" spans="1:53" ht="31.75" customHeight="1">
      <c r="A17" s="14"/>
      <c r="B17" s="357"/>
      <c r="C17" s="362"/>
      <c r="D17" s="361"/>
      <c r="E17" s="3"/>
      <c r="F17" s="354"/>
      <c r="G17" s="356"/>
      <c r="H17" s="6"/>
      <c r="I17" s="133" t="s">
        <v>7</v>
      </c>
      <c r="J17" s="131">
        <v>1</v>
      </c>
      <c r="K17" s="163"/>
      <c r="L17" s="14"/>
      <c r="M17" s="14"/>
      <c r="N17" s="12"/>
      <c r="O17" s="6"/>
      <c r="P17" s="14"/>
      <c r="Q17" s="15"/>
      <c r="R17" s="6"/>
      <c r="S17" s="6"/>
      <c r="T17" s="6"/>
      <c r="U17" s="6"/>
      <c r="V17" s="6"/>
      <c r="W17" s="12"/>
      <c r="X17" s="14"/>
      <c r="Y17" s="14"/>
      <c r="Z17" s="14"/>
      <c r="AA17" s="14"/>
      <c r="AB17" s="14"/>
      <c r="AC17" s="14"/>
      <c r="AD17" s="14"/>
      <c r="AE17" s="14"/>
      <c r="AF17" s="14"/>
      <c r="AG17" s="14"/>
      <c r="AH17" s="14"/>
      <c r="AI17" s="14"/>
      <c r="AJ17" s="14"/>
      <c r="AK17" s="14"/>
      <c r="AL17" s="14"/>
      <c r="AM17" s="14"/>
      <c r="AN17" s="14"/>
      <c r="AO17" s="14"/>
      <c r="AP17" s="14"/>
      <c r="AR17">
        <f>IF(AR16&lt;$D$14,AR16+1,"")</f>
        <v>13</v>
      </c>
      <c r="AS17" s="85">
        <f>IF(ISNUMBER(AR17),AV16,0)</f>
        <v>72</v>
      </c>
      <c r="AT17" s="85"/>
      <c r="AU17" s="85">
        <f t="shared" si="2"/>
        <v>7.2</v>
      </c>
      <c r="AV17" s="85">
        <f t="shared" si="6"/>
        <v>72</v>
      </c>
      <c r="AW17">
        <f>IF(ISNUMBER(AR18),SUM(AT17:AU17),SUM(AT17:AV17))</f>
        <v>7.2</v>
      </c>
      <c r="AX17" s="86">
        <f t="shared" si="0"/>
        <v>2.4870030074646721E-2</v>
      </c>
      <c r="AY17">
        <f t="shared" si="4"/>
        <v>1.3189107939775747E-2</v>
      </c>
      <c r="AZ17"/>
    </row>
    <row r="18" spans="1:53" ht="30.5" customHeight="1">
      <c r="A18" s="14"/>
      <c r="B18" s="357"/>
      <c r="C18" s="6"/>
      <c r="D18" s="6"/>
      <c r="E18" s="3"/>
      <c r="F18" s="150" t="s">
        <v>254</v>
      </c>
      <c r="G18" s="147">
        <v>0.3</v>
      </c>
      <c r="H18" s="6"/>
      <c r="I18" s="146" t="s">
        <v>131</v>
      </c>
      <c r="J18" s="145">
        <v>1</v>
      </c>
      <c r="K18" s="162"/>
      <c r="L18" s="14"/>
      <c r="M18" s="14"/>
      <c r="N18" s="12"/>
      <c r="O18" s="6"/>
      <c r="P18" s="6"/>
      <c r="Q18" s="309" t="s">
        <v>240</v>
      </c>
      <c r="R18" s="207" t="s">
        <v>179</v>
      </c>
      <c r="S18" s="207" t="s">
        <v>35</v>
      </c>
      <c r="T18" s="319" t="s">
        <v>36</v>
      </c>
      <c r="U18" s="319"/>
      <c r="V18" s="319" t="s">
        <v>34</v>
      </c>
      <c r="W18" s="324"/>
      <c r="X18" s="14"/>
      <c r="Y18" s="14"/>
      <c r="Z18" s="14"/>
      <c r="AA18" s="14"/>
      <c r="AB18" s="14"/>
      <c r="AC18" s="14"/>
      <c r="AD18" s="14"/>
      <c r="AE18" s="14"/>
      <c r="AF18" s="14"/>
      <c r="AG18" s="14"/>
      <c r="AH18" s="14"/>
      <c r="AI18" s="14"/>
      <c r="AJ18" s="14"/>
      <c r="AK18" s="14"/>
      <c r="AL18" s="14"/>
      <c r="AM18" s="14"/>
      <c r="AN18" s="14"/>
      <c r="AO18" s="14"/>
      <c r="AP18" s="14"/>
      <c r="AR18">
        <f>IF(AR17&lt;$D$14,AR17+1,"")</f>
        <v>14</v>
      </c>
      <c r="AS18" s="85">
        <f>IF(ISNUMBER(AR18),AV17,0)</f>
        <v>72</v>
      </c>
      <c r="AT18" s="85"/>
      <c r="AU18" s="85">
        <f t="shared" si="2"/>
        <v>7.2</v>
      </c>
      <c r="AV18" s="85">
        <f t="shared" si="6"/>
        <v>72</v>
      </c>
      <c r="AW18">
        <f>IF(ISNUMBER(AR19),SUM(AT18:AU18),SUM(AT18:AV18))</f>
        <v>7.2</v>
      </c>
      <c r="AX18" s="86">
        <f t="shared" si="0"/>
        <v>2.4870030074646721E-2</v>
      </c>
      <c r="AY18">
        <f t="shared" si="4"/>
        <v>1.2561055180738811E-2</v>
      </c>
      <c r="AZ18"/>
    </row>
    <row r="19" spans="1:53" ht="10.25" customHeight="1" thickBot="1">
      <c r="A19" s="14"/>
      <c r="B19" s="141"/>
      <c r="C19" s="7"/>
      <c r="D19" s="7"/>
      <c r="E19" s="7"/>
      <c r="F19" s="142"/>
      <c r="G19" s="143"/>
      <c r="H19" s="7"/>
      <c r="I19" s="7"/>
      <c r="J19" s="7"/>
      <c r="K19" s="7"/>
      <c r="L19" s="172"/>
      <c r="M19" s="7"/>
      <c r="N19" s="144"/>
      <c r="O19" s="6"/>
      <c r="P19" s="14"/>
      <c r="Q19" s="321"/>
      <c r="R19" s="208">
        <f>AZ5</f>
        <v>0.3637949199423417</v>
      </c>
      <c r="S19" s="208">
        <f>AY4</f>
        <v>0.56272869303125006</v>
      </c>
      <c r="T19" s="320">
        <f>R19+S19</f>
        <v>0.92652361297359176</v>
      </c>
      <c r="U19" s="320"/>
      <c r="V19" s="322">
        <f>T19/(Sean!Q36/Sean!D16)</f>
        <v>2.5865450862179438E-3</v>
      </c>
      <c r="W19" s="323"/>
      <c r="X19" s="14"/>
      <c r="Y19" s="14"/>
      <c r="Z19" s="14"/>
      <c r="AA19" s="14"/>
      <c r="AB19" s="14"/>
      <c r="AC19" s="14"/>
      <c r="AD19" s="14"/>
      <c r="AE19" s="14"/>
      <c r="AF19" s="14"/>
      <c r="AG19" s="14"/>
      <c r="AH19" s="14"/>
      <c r="AI19" s="14"/>
      <c r="AJ19" s="14"/>
      <c r="AK19" s="14"/>
      <c r="AL19" s="14"/>
      <c r="AM19" s="14"/>
      <c r="AN19" s="14"/>
      <c r="AO19" s="14"/>
      <c r="AP19" s="14"/>
      <c r="AR19">
        <f>IF(AR18&lt;$D$14,AR18+1,"")</f>
        <v>15</v>
      </c>
      <c r="AS19" s="85">
        <f>IF(ISNUMBER(AR19),AV18,0)</f>
        <v>72</v>
      </c>
      <c r="AT19" s="85"/>
      <c r="AU19" s="85">
        <f t="shared" si="2"/>
        <v>7.2</v>
      </c>
      <c r="AV19" s="85">
        <f t="shared" si="6"/>
        <v>72</v>
      </c>
      <c r="AW19">
        <f t="shared" si="7"/>
        <v>79.2</v>
      </c>
      <c r="AX19" s="86">
        <f t="shared" si="0"/>
        <v>0.24451401526259264</v>
      </c>
      <c r="AY19">
        <f t="shared" si="4"/>
        <v>0.1176154220641835</v>
      </c>
      <c r="AZ19"/>
    </row>
    <row r="20" spans="1:53" ht="9.5" customHeight="1" thickBot="1">
      <c r="A20" s="14"/>
      <c r="B20" s="14"/>
      <c r="C20" s="14"/>
      <c r="D20" s="14"/>
      <c r="E20" s="14"/>
      <c r="F20" s="14"/>
      <c r="G20" s="14"/>
      <c r="H20" s="14"/>
      <c r="I20" s="14"/>
      <c r="J20" s="14"/>
      <c r="K20" s="14"/>
      <c r="L20" s="14"/>
      <c r="M20" s="14"/>
      <c r="N20" s="14"/>
      <c r="O20" s="14"/>
      <c r="P20" s="14"/>
      <c r="Q20" s="6"/>
      <c r="R20" s="6"/>
      <c r="S20" s="6"/>
      <c r="T20" s="6"/>
      <c r="U20" s="6"/>
      <c r="V20" s="6"/>
      <c r="W20" s="6"/>
      <c r="X20" s="14"/>
      <c r="Y20" s="14"/>
      <c r="Z20" s="14"/>
      <c r="AA20" s="14"/>
      <c r="AB20" s="14"/>
      <c r="AC20" s="14"/>
      <c r="AD20" s="14"/>
      <c r="AE20" s="14"/>
      <c r="AF20" s="14"/>
      <c r="AG20" s="14"/>
      <c r="AH20" s="14"/>
      <c r="AI20" s="14"/>
      <c r="AJ20" s="14"/>
      <c r="AK20" s="14"/>
      <c r="AL20" s="14"/>
      <c r="AM20" s="14"/>
      <c r="AN20" s="14"/>
      <c r="AO20" s="14"/>
      <c r="AP20" s="14"/>
      <c r="AR20" t="str">
        <f t="shared" si="1"/>
        <v/>
      </c>
      <c r="AS20" s="85">
        <f t="shared" si="5"/>
        <v>0</v>
      </c>
      <c r="AT20" s="85"/>
      <c r="AU20" s="85">
        <f t="shared" si="2"/>
        <v>0</v>
      </c>
      <c r="AV20" s="85">
        <f t="shared" si="6"/>
        <v>0</v>
      </c>
      <c r="AW20">
        <f t="shared" si="7"/>
        <v>0</v>
      </c>
      <c r="AX20" s="86">
        <f t="shared" si="0"/>
        <v>0</v>
      </c>
      <c r="AY20">
        <f t="shared" si="4"/>
        <v>0</v>
      </c>
      <c r="AZ20"/>
    </row>
    <row r="21" spans="1:53" ht="10.25" customHeight="1">
      <c r="A21" s="14"/>
      <c r="B21" s="14"/>
      <c r="C21" s="14"/>
      <c r="D21" s="14"/>
      <c r="E21" s="6"/>
      <c r="F21" s="384" t="s">
        <v>34</v>
      </c>
      <c r="G21" s="28" t="s">
        <v>33</v>
      </c>
      <c r="H21" s="29"/>
      <c r="I21" s="30">
        <f>T9</f>
        <v>5.3519973052377379E-2</v>
      </c>
      <c r="J21" s="31"/>
      <c r="K21" s="31"/>
      <c r="L21" s="31"/>
      <c r="M21" s="31"/>
      <c r="N21" s="32"/>
      <c r="O21" s="36"/>
      <c r="P21" s="6"/>
      <c r="Q21" s="181"/>
      <c r="R21" s="381" t="s">
        <v>301</v>
      </c>
      <c r="S21" s="382"/>
      <c r="T21" s="96"/>
      <c r="U21" s="377" t="s">
        <v>37</v>
      </c>
      <c r="V21" s="377"/>
      <c r="W21" s="378"/>
      <c r="X21" s="14"/>
      <c r="Y21" s="14"/>
      <c r="Z21" s="14"/>
      <c r="AA21" s="14"/>
      <c r="AB21" s="14"/>
      <c r="AC21" s="14"/>
      <c r="AD21" s="14"/>
      <c r="AE21" s="14"/>
      <c r="AF21" s="14"/>
      <c r="AG21" s="14"/>
      <c r="AH21" s="14"/>
      <c r="AI21" s="14"/>
      <c r="AJ21" s="14"/>
      <c r="AK21" s="14"/>
      <c r="AL21" s="14"/>
      <c r="AM21" s="14"/>
      <c r="AN21" s="14"/>
      <c r="AO21" s="14"/>
      <c r="AP21" s="14"/>
      <c r="AR21" t="str">
        <f t="shared" si="1"/>
        <v/>
      </c>
      <c r="AS21" s="85">
        <f t="shared" si="5"/>
        <v>0</v>
      </c>
      <c r="AT21" s="85"/>
      <c r="AU21" s="85">
        <f t="shared" si="2"/>
        <v>0</v>
      </c>
      <c r="AV21" s="85">
        <f t="shared" si="6"/>
        <v>0</v>
      </c>
      <c r="AW21">
        <f t="shared" si="7"/>
        <v>0</v>
      </c>
      <c r="AX21" s="86">
        <f t="shared" si="0"/>
        <v>0</v>
      </c>
      <c r="AY21">
        <f t="shared" si="4"/>
        <v>0</v>
      </c>
      <c r="AZ21"/>
    </row>
    <row r="22" spans="1:53" ht="12" customHeight="1" thickBot="1">
      <c r="A22" s="14"/>
      <c r="B22" s="14"/>
      <c r="C22" s="14"/>
      <c r="D22" s="14"/>
      <c r="E22" s="6"/>
      <c r="F22" s="368"/>
      <c r="G22" s="33" t="s">
        <v>32</v>
      </c>
      <c r="H22" s="34"/>
      <c r="I22" s="35">
        <f>T10</f>
        <v>2.3888131135249915E-2</v>
      </c>
      <c r="J22" s="36"/>
      <c r="K22" s="36"/>
      <c r="L22" s="36"/>
      <c r="M22" s="36"/>
      <c r="N22" s="37"/>
      <c r="O22" s="36"/>
      <c r="P22" s="6"/>
      <c r="Q22" s="193"/>
      <c r="R22" s="309"/>
      <c r="S22" s="383"/>
      <c r="T22" s="97"/>
      <c r="U22" s="379"/>
      <c r="V22" s="379"/>
      <c r="W22" s="380"/>
      <c r="X22" s="14"/>
      <c r="Y22" s="83"/>
      <c r="Z22" s="14"/>
      <c r="AA22" s="14"/>
      <c r="AB22" s="14"/>
      <c r="AC22" s="14"/>
      <c r="AD22" s="14"/>
      <c r="AE22" s="14"/>
      <c r="AF22" s="14"/>
      <c r="AG22" s="14"/>
      <c r="AH22" s="14"/>
      <c r="AI22" s="14"/>
      <c r="AJ22" s="14"/>
      <c r="AK22" s="14"/>
      <c r="AL22" s="14"/>
      <c r="AM22" s="14"/>
      <c r="AN22" s="14"/>
      <c r="AO22" s="14"/>
      <c r="AP22" s="14"/>
      <c r="AR22" t="str">
        <f t="shared" si="1"/>
        <v/>
      </c>
      <c r="AS22" s="85">
        <f t="shared" si="5"/>
        <v>0</v>
      </c>
      <c r="AT22" s="85"/>
      <c r="AU22" s="85">
        <f t="shared" si="2"/>
        <v>0</v>
      </c>
      <c r="AV22" s="85">
        <f t="shared" si="6"/>
        <v>0</v>
      </c>
      <c r="AW22">
        <f t="shared" si="7"/>
        <v>0</v>
      </c>
      <c r="AX22" s="86">
        <f t="shared" si="0"/>
        <v>0</v>
      </c>
      <c r="AY22">
        <f t="shared" si="4"/>
        <v>0</v>
      </c>
      <c r="AZ22"/>
    </row>
    <row r="23" spans="1:53" ht="10.75" customHeight="1">
      <c r="A23" s="14"/>
      <c r="B23" s="313" t="s">
        <v>234</v>
      </c>
      <c r="C23" s="349"/>
      <c r="D23" s="349"/>
      <c r="E23" s="349"/>
      <c r="F23" s="368"/>
      <c r="G23" s="33" t="s">
        <v>210</v>
      </c>
      <c r="H23" s="34"/>
      <c r="I23" s="35">
        <f>T11</f>
        <v>1.3893425388310343E-2</v>
      </c>
      <c r="J23" s="36"/>
      <c r="K23" s="36"/>
      <c r="L23" s="36"/>
      <c r="M23" s="36"/>
      <c r="N23" s="37"/>
      <c r="O23" s="36"/>
      <c r="P23" s="6"/>
      <c r="Q23" s="181"/>
      <c r="R23" s="84" t="s">
        <v>44</v>
      </c>
      <c r="S23" s="46">
        <f>W24/W23</f>
        <v>5.8378688762867421</v>
      </c>
      <c r="T23" s="98"/>
      <c r="U23" s="45" t="s">
        <v>38</v>
      </c>
      <c r="V23" s="45"/>
      <c r="W23" s="47">
        <f>(R36/S36)*T5</f>
        <v>30.593246449852959</v>
      </c>
      <c r="X23" s="14"/>
      <c r="Y23" s="83"/>
      <c r="Z23" s="14"/>
      <c r="AA23" s="14"/>
      <c r="AB23" s="14"/>
      <c r="AC23" s="14"/>
      <c r="AD23" s="14"/>
      <c r="AE23" s="14"/>
      <c r="AF23" s="14"/>
      <c r="AG23" s="14"/>
      <c r="AH23" s="14"/>
      <c r="AI23" s="14"/>
      <c r="AJ23" s="14"/>
      <c r="AK23" s="14"/>
      <c r="AL23" s="14"/>
      <c r="AM23" s="14"/>
      <c r="AN23" s="14"/>
      <c r="AO23" s="14"/>
      <c r="AP23" s="14"/>
      <c r="AR23" t="str">
        <f t="shared" si="1"/>
        <v/>
      </c>
      <c r="AS23" s="85">
        <f t="shared" si="5"/>
        <v>0</v>
      </c>
      <c r="AT23" s="85"/>
      <c r="AU23" s="85">
        <f t="shared" si="2"/>
        <v>0</v>
      </c>
      <c r="AV23" s="85">
        <f t="shared" si="6"/>
        <v>0</v>
      </c>
      <c r="AW23">
        <f t="shared" si="7"/>
        <v>0</v>
      </c>
      <c r="AX23" s="86">
        <f t="shared" si="0"/>
        <v>0</v>
      </c>
      <c r="AY23">
        <f t="shared" si="4"/>
        <v>0</v>
      </c>
      <c r="AZ23"/>
    </row>
    <row r="24" spans="1:53" ht="12.5" customHeight="1" thickBot="1">
      <c r="A24" s="14"/>
      <c r="B24" s="350"/>
      <c r="C24" s="351"/>
      <c r="D24" s="351"/>
      <c r="E24" s="351"/>
      <c r="F24" s="368"/>
      <c r="G24" s="33" t="s">
        <v>14</v>
      </c>
      <c r="H24" s="34"/>
      <c r="I24" s="35">
        <f>Sean!V19</f>
        <v>2.5865450862179438E-3</v>
      </c>
      <c r="J24" s="36"/>
      <c r="K24" s="36"/>
      <c r="L24" s="36"/>
      <c r="M24" s="36"/>
      <c r="N24" s="37"/>
      <c r="O24" s="36"/>
      <c r="P24" s="6"/>
      <c r="Q24" s="193"/>
      <c r="R24" s="84" t="s">
        <v>32</v>
      </c>
      <c r="S24" s="46">
        <f>W25/W23</f>
        <v>2.6056772698792883</v>
      </c>
      <c r="T24" s="98"/>
      <c r="U24" s="45" t="s">
        <v>39</v>
      </c>
      <c r="V24" s="45"/>
      <c r="W24" s="47">
        <f>T9*R36</f>
        <v>178.59936127416645</v>
      </c>
      <c r="X24" s="14"/>
      <c r="Y24" s="6"/>
      <c r="Z24" s="14"/>
      <c r="AA24" s="14"/>
      <c r="AB24" s="14"/>
      <c r="AC24" s="14"/>
      <c r="AD24" s="14"/>
      <c r="AE24" s="14"/>
      <c r="AF24" s="14"/>
      <c r="AG24" s="14"/>
      <c r="AH24" s="14"/>
      <c r="AI24" s="14"/>
      <c r="AJ24" s="14"/>
      <c r="AK24" s="14"/>
      <c r="AL24" s="14"/>
      <c r="AM24" s="14"/>
      <c r="AN24" s="14"/>
      <c r="AO24" s="14"/>
      <c r="AP24" s="14"/>
      <c r="AR24" t="str">
        <f t="shared" si="1"/>
        <v/>
      </c>
      <c r="AS24" s="85">
        <f t="shared" si="5"/>
        <v>0</v>
      </c>
      <c r="AT24" s="85"/>
      <c r="AU24" s="85">
        <f t="shared" si="2"/>
        <v>0</v>
      </c>
      <c r="AV24" s="85">
        <f t="shared" si="6"/>
        <v>0</v>
      </c>
      <c r="AW24">
        <f>IF(ISNUMBER(AR25),SUM(AT24:AU24),SUM(AT24:AV24))</f>
        <v>0</v>
      </c>
      <c r="AX24" s="86">
        <f t="shared" si="0"/>
        <v>0</v>
      </c>
      <c r="AY24">
        <f t="shared" si="4"/>
        <v>0</v>
      </c>
      <c r="AZ24"/>
    </row>
    <row r="25" spans="1:53" ht="14.5" customHeight="1">
      <c r="A25" s="14"/>
      <c r="B25" s="350"/>
      <c r="C25" s="351"/>
      <c r="D25" s="351"/>
      <c r="E25" s="351"/>
      <c r="F25" s="38" t="s">
        <v>48</v>
      </c>
      <c r="G25" s="39"/>
      <c r="H25" s="39"/>
      <c r="I25" s="40">
        <f>Sean!V19*J36</f>
        <v>0.73954497105143457</v>
      </c>
      <c r="J25" s="36"/>
      <c r="K25" s="36"/>
      <c r="L25" s="36"/>
      <c r="M25" s="36"/>
      <c r="N25" s="37"/>
      <c r="O25" s="36"/>
      <c r="P25" s="6"/>
      <c r="Q25" s="372" t="s">
        <v>235</v>
      </c>
      <c r="R25" s="84" t="s">
        <v>210</v>
      </c>
      <c r="S25" s="46">
        <f>W27/W23</f>
        <v>1.5154715339645739</v>
      </c>
      <c r="T25" s="22"/>
      <c r="U25" s="45" t="s">
        <v>32</v>
      </c>
      <c r="V25" s="45"/>
      <c r="W25" s="47">
        <f>T10*R36</f>
        <v>79.716126886197088</v>
      </c>
      <c r="X25" s="6"/>
      <c r="Y25" s="6"/>
      <c r="Z25" s="14"/>
      <c r="AA25" s="14"/>
      <c r="AB25" s="14"/>
      <c r="AC25" s="14"/>
      <c r="AD25" s="14"/>
      <c r="AE25" s="14"/>
      <c r="AF25" s="14"/>
      <c r="AG25" s="14"/>
      <c r="AH25" s="14"/>
      <c r="AI25" s="14"/>
      <c r="AJ25" s="14"/>
      <c r="AK25" s="14"/>
      <c r="AL25" s="14"/>
      <c r="AM25" s="14"/>
      <c r="AN25" s="14"/>
      <c r="AO25" s="14"/>
      <c r="AP25" s="14"/>
      <c r="AR25" t="str">
        <f>IF(AR24&lt;$D$14,AR24+1,"")</f>
        <v/>
      </c>
      <c r="AS25" s="85">
        <f>IF(ISNUMBER(AR25),AV24,0)</f>
        <v>0</v>
      </c>
      <c r="AT25" s="85"/>
      <c r="AU25" s="85">
        <f t="shared" si="2"/>
        <v>0</v>
      </c>
      <c r="AV25" s="85">
        <f t="shared" si="6"/>
        <v>0</v>
      </c>
      <c r="AW25">
        <f t="shared" si="7"/>
        <v>0</v>
      </c>
      <c r="AX25" s="86">
        <f t="shared" si="0"/>
        <v>0</v>
      </c>
      <c r="AY25">
        <f t="shared" si="4"/>
        <v>0</v>
      </c>
      <c r="AZ25"/>
    </row>
    <row r="26" spans="1:53" ht="12" customHeight="1" thickBot="1">
      <c r="A26" s="14"/>
      <c r="B26" s="315"/>
      <c r="C26" s="352"/>
      <c r="D26" s="352"/>
      <c r="E26" s="352"/>
      <c r="F26" s="15"/>
      <c r="G26" s="6"/>
      <c r="H26" s="6"/>
      <c r="I26" s="6"/>
      <c r="J26" s="6"/>
      <c r="K26" s="6"/>
      <c r="L26" s="6"/>
      <c r="M26" s="6"/>
      <c r="N26" s="12"/>
      <c r="O26" s="36"/>
      <c r="P26" s="6"/>
      <c r="Q26" s="373"/>
      <c r="R26" s="15"/>
      <c r="S26" s="6"/>
      <c r="T26" s="6"/>
      <c r="U26" s="45" t="s">
        <v>14</v>
      </c>
      <c r="V26" s="45"/>
      <c r="W26" s="47">
        <f>V19*R36</f>
        <v>8.6314561454144521</v>
      </c>
      <c r="X26" s="14"/>
      <c r="Y26" s="14"/>
      <c r="Z26" s="14"/>
      <c r="AA26" s="14"/>
      <c r="AB26" s="14"/>
      <c r="AC26" s="14"/>
      <c r="AD26" s="14"/>
      <c r="AE26" s="14"/>
      <c r="AF26" s="14"/>
      <c r="AG26" s="14"/>
      <c r="AH26" s="14"/>
      <c r="AI26" s="14"/>
      <c r="AJ26" s="14"/>
      <c r="AK26" s="14"/>
      <c r="AL26" s="14"/>
      <c r="AM26" s="14"/>
      <c r="AN26" s="14"/>
      <c r="AO26" s="14"/>
      <c r="AP26" s="14"/>
      <c r="AR26" t="str">
        <f t="shared" si="1"/>
        <v/>
      </c>
      <c r="AS26" s="85">
        <f t="shared" si="5"/>
        <v>0</v>
      </c>
      <c r="AT26" s="85"/>
      <c r="AU26" s="85">
        <f t="shared" si="2"/>
        <v>0</v>
      </c>
      <c r="AV26" s="85">
        <f t="shared" si="6"/>
        <v>0</v>
      </c>
      <c r="AW26">
        <f t="shared" si="7"/>
        <v>0</v>
      </c>
      <c r="AX26" s="86">
        <f t="shared" si="0"/>
        <v>0</v>
      </c>
      <c r="AY26">
        <f t="shared" si="4"/>
        <v>0</v>
      </c>
      <c r="AZ26"/>
    </row>
    <row r="27" spans="1:53" ht="12.5" customHeight="1">
      <c r="A27" s="14"/>
      <c r="B27" s="14"/>
      <c r="C27" s="14"/>
      <c r="D27" s="14"/>
      <c r="E27" s="6"/>
      <c r="F27" s="41" t="s">
        <v>41</v>
      </c>
      <c r="G27" s="42">
        <f>I21/I24</f>
        <v>20.69168379764626</v>
      </c>
      <c r="H27" s="43" t="s">
        <v>42</v>
      </c>
      <c r="I27" s="39"/>
      <c r="J27" s="39"/>
      <c r="K27" s="39"/>
      <c r="L27" s="39"/>
      <c r="M27" s="39"/>
      <c r="N27" s="44"/>
      <c r="O27" s="36"/>
      <c r="P27" s="6"/>
      <c r="Q27" s="373"/>
      <c r="R27" s="15"/>
      <c r="S27" s="6"/>
      <c r="T27" s="6"/>
      <c r="U27" s="45" t="s">
        <v>210</v>
      </c>
      <c r="V27" s="45"/>
      <c r="W27" s="47">
        <f>T11*R36</f>
        <v>46.363194126314916</v>
      </c>
      <c r="X27" s="14"/>
      <c r="Y27" s="14"/>
      <c r="Z27" s="14"/>
      <c r="AA27" s="14"/>
      <c r="AB27" s="14"/>
      <c r="AC27" s="14"/>
      <c r="AD27" s="14"/>
      <c r="AE27" s="14"/>
      <c r="AF27" s="14"/>
      <c r="AG27" s="14"/>
      <c r="AH27" s="14"/>
      <c r="AI27" s="14"/>
      <c r="AJ27" s="14"/>
      <c r="AK27" s="14"/>
      <c r="AL27" s="14"/>
      <c r="AM27" s="14"/>
      <c r="AN27" s="14"/>
      <c r="AO27" s="14"/>
      <c r="AP27" s="14"/>
      <c r="AR27" t="str">
        <f t="shared" si="1"/>
        <v/>
      </c>
      <c r="AS27" s="85">
        <f t="shared" si="5"/>
        <v>0</v>
      </c>
      <c r="AT27" s="85"/>
      <c r="AU27" s="85">
        <f t="shared" si="2"/>
        <v>0</v>
      </c>
      <c r="AV27" s="85">
        <f t="shared" si="6"/>
        <v>0</v>
      </c>
      <c r="AW27">
        <f t="shared" si="7"/>
        <v>0</v>
      </c>
      <c r="AX27" s="86">
        <f t="shared" si="0"/>
        <v>0</v>
      </c>
      <c r="AY27">
        <f t="shared" si="4"/>
        <v>0</v>
      </c>
      <c r="AZ27" s="117"/>
      <c r="BA27" s="14"/>
    </row>
    <row r="28" spans="1:53" s="14" customFormat="1" ht="14.5" customHeight="1" thickBot="1">
      <c r="E28" s="6"/>
      <c r="F28" s="41" t="s">
        <v>43</v>
      </c>
      <c r="G28" s="42">
        <f>I22/I24</f>
        <v>9.2355363386219693</v>
      </c>
      <c r="H28" s="43" t="s">
        <v>42</v>
      </c>
      <c r="I28" s="39"/>
      <c r="J28" s="39"/>
      <c r="K28" s="39"/>
      <c r="L28" s="39"/>
      <c r="M28" s="39"/>
      <c r="N28" s="44"/>
      <c r="O28" s="36"/>
      <c r="P28" s="6"/>
      <c r="Q28" s="374"/>
      <c r="R28" s="15"/>
      <c r="S28" s="6"/>
      <c r="T28" s="6"/>
      <c r="U28" s="6"/>
      <c r="V28" s="6"/>
      <c r="W28" s="12"/>
      <c r="AR28" t="str">
        <f t="shared" si="1"/>
        <v/>
      </c>
      <c r="AS28" s="85">
        <f t="shared" si="5"/>
        <v>0</v>
      </c>
      <c r="AT28" s="85"/>
      <c r="AU28" s="85">
        <f t="shared" si="2"/>
        <v>0</v>
      </c>
      <c r="AV28" s="85">
        <f t="shared" si="6"/>
        <v>0</v>
      </c>
      <c r="AW28">
        <f t="shared" si="7"/>
        <v>0</v>
      </c>
      <c r="AX28" s="86">
        <f t="shared" si="0"/>
        <v>0</v>
      </c>
      <c r="AY28">
        <f t="shared" si="4"/>
        <v>0</v>
      </c>
      <c r="AZ28"/>
      <c r="BA28" s="1"/>
    </row>
    <row r="29" spans="1:53" ht="13.75" customHeight="1">
      <c r="A29" s="14"/>
      <c r="B29" s="14"/>
      <c r="C29" s="14"/>
      <c r="D29" s="14"/>
      <c r="E29" s="6"/>
      <c r="F29" s="41" t="s">
        <v>228</v>
      </c>
      <c r="G29" s="42">
        <f>I23/I24</f>
        <v>5.3714220804963286</v>
      </c>
      <c r="H29" s="43" t="s">
        <v>42</v>
      </c>
      <c r="I29" s="39"/>
      <c r="J29" s="39"/>
      <c r="K29" s="39"/>
      <c r="L29" s="39"/>
      <c r="M29" s="39"/>
      <c r="N29" s="44"/>
      <c r="O29" s="36"/>
      <c r="P29" s="6"/>
      <c r="Q29" s="193"/>
      <c r="R29" s="375" t="s">
        <v>231</v>
      </c>
      <c r="S29" s="376"/>
      <c r="T29" s="376"/>
      <c r="U29" s="376"/>
      <c r="V29" s="376"/>
      <c r="W29" s="100">
        <f>W24-W23</f>
        <v>148.0061148243135</v>
      </c>
      <c r="X29" s="14"/>
      <c r="Y29" s="14"/>
      <c r="Z29" s="14"/>
      <c r="AA29" s="14"/>
      <c r="AB29" s="14"/>
      <c r="AC29" s="14"/>
      <c r="AD29" s="14"/>
      <c r="AE29" s="14"/>
      <c r="AF29" s="14"/>
      <c r="AG29" s="14"/>
      <c r="AH29" s="14"/>
      <c r="AI29" s="14"/>
      <c r="AJ29" s="14"/>
      <c r="AK29" s="14"/>
      <c r="AL29" s="14"/>
      <c r="AM29" s="14"/>
      <c r="AN29" s="14"/>
      <c r="AO29" s="14"/>
      <c r="AP29" s="14"/>
      <c r="AR29" t="str">
        <f t="shared" si="1"/>
        <v/>
      </c>
      <c r="AS29" s="85">
        <f t="shared" si="5"/>
        <v>0</v>
      </c>
      <c r="AT29" s="85"/>
      <c r="AU29" s="85">
        <f t="shared" si="2"/>
        <v>0</v>
      </c>
      <c r="AV29" s="85">
        <f t="shared" si="6"/>
        <v>0</v>
      </c>
      <c r="AW29">
        <f t="shared" si="7"/>
        <v>0</v>
      </c>
      <c r="AX29" s="86">
        <f t="shared" si="0"/>
        <v>0</v>
      </c>
      <c r="AY29">
        <f t="shared" si="4"/>
        <v>0</v>
      </c>
      <c r="AZ29"/>
    </row>
    <row r="30" spans="1:53" ht="13.25" customHeight="1">
      <c r="A30" s="14"/>
      <c r="B30" s="14"/>
      <c r="C30" s="14"/>
      <c r="D30" s="14"/>
      <c r="E30" s="6"/>
      <c r="F30" s="15"/>
      <c r="G30" s="6"/>
      <c r="H30" s="6"/>
      <c r="I30" s="6"/>
      <c r="J30" s="36"/>
      <c r="K30" s="36"/>
      <c r="L30" s="36"/>
      <c r="M30" s="36"/>
      <c r="N30" s="37"/>
      <c r="O30" s="36"/>
      <c r="P30" s="6"/>
      <c r="Q30" s="193"/>
      <c r="R30" s="375" t="s">
        <v>230</v>
      </c>
      <c r="S30" s="376"/>
      <c r="T30" s="376"/>
      <c r="U30" s="376"/>
      <c r="V30" s="376"/>
      <c r="W30" s="100">
        <f>W25-W23</f>
        <v>49.122880436344133</v>
      </c>
      <c r="X30" s="14"/>
      <c r="Y30" s="14"/>
      <c r="Z30" s="14"/>
      <c r="AA30" s="14"/>
      <c r="AB30" s="14"/>
      <c r="AC30" s="14"/>
      <c r="AD30" s="14"/>
      <c r="AE30" s="14"/>
      <c r="AF30" s="14"/>
      <c r="AG30" s="14"/>
      <c r="AH30" s="14"/>
      <c r="AI30" s="14"/>
      <c r="AJ30" s="14"/>
      <c r="AK30" s="14"/>
      <c r="AL30" s="14"/>
      <c r="AM30" s="14"/>
      <c r="AN30" s="14"/>
      <c r="AO30" s="14"/>
      <c r="AP30" s="14"/>
      <c r="AR30" t="str">
        <f t="shared" si="1"/>
        <v/>
      </c>
      <c r="AS30" s="85">
        <f t="shared" si="5"/>
        <v>0</v>
      </c>
      <c r="AT30" s="85"/>
      <c r="AU30" s="85">
        <f t="shared" si="2"/>
        <v>0</v>
      </c>
      <c r="AV30" s="85">
        <f t="shared" si="6"/>
        <v>0</v>
      </c>
      <c r="AW30">
        <f>IF(ISNUMBER(AR33),SUM(AT30:AU30),SUM(AT30:AV30))</f>
        <v>0</v>
      </c>
      <c r="AX30" s="86">
        <f t="shared" si="0"/>
        <v>0</v>
      </c>
      <c r="AY30">
        <f t="shared" si="4"/>
        <v>0</v>
      </c>
      <c r="AZ30"/>
    </row>
    <row r="31" spans="1:53" ht="13.25" customHeight="1" thickBot="1">
      <c r="A31" s="14"/>
      <c r="B31" s="14"/>
      <c r="C31" s="14"/>
      <c r="D31" s="14"/>
      <c r="E31" s="6"/>
      <c r="F31" s="368" t="s">
        <v>184</v>
      </c>
      <c r="G31" s="33" t="s">
        <v>33</v>
      </c>
      <c r="H31" s="34"/>
      <c r="I31" s="40">
        <f>1000/V14</f>
        <v>1771.5368767730804</v>
      </c>
      <c r="J31" s="36"/>
      <c r="K31" s="36"/>
      <c r="L31" s="36"/>
      <c r="M31" s="36"/>
      <c r="N31" s="37"/>
      <c r="O31" s="36"/>
      <c r="P31" s="6"/>
      <c r="Q31" s="194"/>
      <c r="R31" s="370" t="s">
        <v>229</v>
      </c>
      <c r="S31" s="371"/>
      <c r="T31" s="371"/>
      <c r="U31" s="371"/>
      <c r="V31" s="371"/>
      <c r="W31" s="101">
        <f>W27-W23</f>
        <v>15.769947676461957</v>
      </c>
      <c r="X31" s="14"/>
      <c r="Y31" s="14"/>
      <c r="Z31" s="14"/>
      <c r="AA31" s="14"/>
      <c r="AB31" s="14"/>
      <c r="AC31" s="14"/>
      <c r="AD31" s="14"/>
      <c r="AE31" s="14"/>
      <c r="AF31" s="14"/>
      <c r="AG31" s="14"/>
      <c r="AH31" s="14"/>
      <c r="AI31" s="14"/>
      <c r="AJ31" s="14"/>
      <c r="AK31" s="14"/>
      <c r="AL31" s="14"/>
      <c r="AM31" s="14"/>
      <c r="AN31" s="14"/>
      <c r="AO31" s="14"/>
      <c r="AP31" s="14"/>
      <c r="AR31"/>
      <c r="AS31" s="85"/>
      <c r="AT31" s="85"/>
      <c r="AU31" s="85"/>
      <c r="AV31" s="85"/>
      <c r="AW31"/>
      <c r="AX31" s="86"/>
      <c r="AY31"/>
      <c r="AZ31"/>
    </row>
    <row r="32" spans="1:53" ht="13.25" customHeight="1">
      <c r="A32" s="14"/>
      <c r="B32" s="14"/>
      <c r="C32" s="14"/>
      <c r="D32" s="14"/>
      <c r="E32" s="6"/>
      <c r="F32" s="368"/>
      <c r="G32" s="33" t="s">
        <v>32</v>
      </c>
      <c r="H32" s="34"/>
      <c r="I32" s="40">
        <f>1000/V15</f>
        <v>4065.1740995776868</v>
      </c>
      <c r="J32" s="36"/>
      <c r="K32" s="36"/>
      <c r="L32" s="36"/>
      <c r="M32" s="36"/>
      <c r="N32" s="37"/>
      <c r="O32" s="36"/>
      <c r="P32" s="6"/>
      <c r="Q32" s="114"/>
      <c r="R32" s="115"/>
      <c r="S32" s="115"/>
      <c r="T32" s="115"/>
      <c r="U32" s="115"/>
      <c r="V32" s="115"/>
      <c r="W32" s="116"/>
      <c r="X32" s="14"/>
      <c r="Y32" s="14"/>
      <c r="Z32" s="14"/>
      <c r="AA32" s="14"/>
      <c r="AB32" s="14"/>
      <c r="AC32" s="14"/>
      <c r="AD32" s="14"/>
      <c r="AE32" s="14"/>
      <c r="AF32" s="14"/>
      <c r="AG32" s="14"/>
      <c r="AH32" s="14"/>
      <c r="AI32" s="14"/>
      <c r="AJ32" s="14"/>
      <c r="AK32" s="14"/>
      <c r="AL32" s="14"/>
      <c r="AM32" s="14"/>
      <c r="AN32" s="14"/>
      <c r="AO32" s="14"/>
      <c r="AP32" s="14"/>
      <c r="AR32"/>
      <c r="AS32" s="85"/>
      <c r="AT32" s="85"/>
      <c r="AU32" s="85"/>
      <c r="AV32" s="85"/>
      <c r="AW32"/>
      <c r="AX32" s="86"/>
      <c r="AY32"/>
      <c r="AZ32"/>
    </row>
    <row r="33" spans="1:52" ht="13.75" customHeight="1" thickBot="1">
      <c r="A33" s="14"/>
      <c r="B33" s="14"/>
      <c r="C33" s="14"/>
      <c r="D33" s="14"/>
      <c r="E33" s="14"/>
      <c r="F33" s="369"/>
      <c r="G33" s="118" t="s">
        <v>210</v>
      </c>
      <c r="H33" s="119"/>
      <c r="I33" s="120">
        <f>1000/V16</f>
        <v>6893.3259369744283</v>
      </c>
      <c r="J33" s="7"/>
      <c r="K33" s="7"/>
      <c r="L33" s="7"/>
      <c r="M33" s="7"/>
      <c r="N33" s="182"/>
      <c r="O33" s="14"/>
      <c r="P33" s="14"/>
      <c r="Q33" s="114"/>
      <c r="R33" s="115"/>
      <c r="S33" s="115"/>
      <c r="T33" s="115"/>
      <c r="U33" s="115"/>
      <c r="V33" s="115"/>
      <c r="W33" s="116"/>
      <c r="X33" s="14"/>
      <c r="Y33" s="14"/>
      <c r="Z33" s="14"/>
      <c r="AA33" s="14"/>
      <c r="AB33" s="14"/>
      <c r="AC33" s="14"/>
      <c r="AD33" s="14"/>
      <c r="AE33" s="14"/>
      <c r="AF33" s="14"/>
      <c r="AG33" s="14"/>
      <c r="AH33" s="14"/>
      <c r="AI33" s="14"/>
      <c r="AJ33" s="14"/>
      <c r="AK33" s="14"/>
      <c r="AL33" s="14"/>
      <c r="AM33" s="14"/>
      <c r="AN33" s="14"/>
      <c r="AO33" s="14"/>
      <c r="AP33" s="14"/>
      <c r="AR33" t="str">
        <f>IF(AR30&lt;$D$14,AR30+1,"")</f>
        <v/>
      </c>
      <c r="AS33" s="85">
        <f>IF(ISNUMBER(AR33),AV30,0)</f>
        <v>0</v>
      </c>
      <c r="AT33" s="85"/>
      <c r="AU33" s="85">
        <f t="shared" si="2"/>
        <v>0</v>
      </c>
      <c r="AV33" s="85">
        <f t="shared" si="6"/>
        <v>0</v>
      </c>
      <c r="AW33">
        <f t="shared" si="7"/>
        <v>0</v>
      </c>
      <c r="AX33" s="86">
        <f>LN(AW33+$J$36)-LN($J$36)</f>
        <v>0</v>
      </c>
      <c r="AY33">
        <f t="shared" si="4"/>
        <v>0</v>
      </c>
    </row>
    <row r="34" spans="1:52" ht="51" customHeight="1" thickBot="1">
      <c r="B34" s="14"/>
      <c r="C34" s="14"/>
      <c r="D34" s="14"/>
      <c r="E34" s="14"/>
      <c r="F34" s="14"/>
      <c r="G34" s="14"/>
      <c r="H34" s="14"/>
      <c r="I34" s="14"/>
      <c r="J34" s="14"/>
      <c r="K34" s="14"/>
      <c r="L34" s="14"/>
      <c r="M34" s="14"/>
      <c r="N34" s="14"/>
      <c r="O34" s="14"/>
      <c r="P34" s="14"/>
      <c r="Q34" s="114"/>
      <c r="R34" s="115"/>
      <c r="S34" s="115"/>
      <c r="T34" s="115"/>
      <c r="U34" s="115"/>
      <c r="V34" s="115"/>
      <c r="W34" s="116"/>
      <c r="X34" s="14"/>
      <c r="Y34" s="14"/>
      <c r="Z34" s="14"/>
      <c r="AA34" s="14"/>
      <c r="AB34" s="14"/>
      <c r="AC34" s="14"/>
      <c r="AD34" s="14"/>
      <c r="AE34" s="14"/>
      <c r="AF34" s="14"/>
      <c r="AG34" s="14"/>
      <c r="AH34" s="14"/>
      <c r="AI34" s="14"/>
      <c r="AJ34" s="14"/>
      <c r="AK34" s="14"/>
      <c r="AL34" s="14"/>
      <c r="AM34" s="14"/>
      <c r="AQ34"/>
      <c r="AR34" t="str">
        <f t="shared" si="1"/>
        <v/>
      </c>
      <c r="AS34" s="85">
        <f t="shared" si="5"/>
        <v>0</v>
      </c>
      <c r="AT34" s="85"/>
      <c r="AU34" s="85">
        <f t="shared" si="2"/>
        <v>0</v>
      </c>
      <c r="AV34" s="85">
        <f t="shared" si="6"/>
        <v>0</v>
      </c>
      <c r="AW34">
        <f t="shared" si="7"/>
        <v>0</v>
      </c>
      <c r="AX34" s="86">
        <f>LN(AW34+$J$36)-LN($J$36)</f>
        <v>0</v>
      </c>
      <c r="AY34">
        <f t="shared" si="4"/>
        <v>0</v>
      </c>
    </row>
    <row r="35" spans="1:52" ht="31.25" customHeight="1">
      <c r="A35" s="14"/>
      <c r="B35" s="327" t="s">
        <v>29</v>
      </c>
      <c r="C35" s="16"/>
      <c r="D35" s="330" t="s">
        <v>24</v>
      </c>
      <c r="E35" s="331"/>
      <c r="F35" s="332"/>
      <c r="G35" s="18" t="s">
        <v>16</v>
      </c>
      <c r="H35" s="341" t="s">
        <v>27</v>
      </c>
      <c r="I35" s="342"/>
      <c r="J35" s="330" t="s">
        <v>26</v>
      </c>
      <c r="K35" s="331"/>
      <c r="L35" s="331"/>
      <c r="M35" s="331"/>
      <c r="N35" s="332"/>
      <c r="O35" s="330" t="s">
        <v>17</v>
      </c>
      <c r="P35" s="332"/>
      <c r="Q35" s="202" t="s">
        <v>18</v>
      </c>
      <c r="R35" s="103" t="s">
        <v>178</v>
      </c>
      <c r="S35" s="213" t="s">
        <v>25</v>
      </c>
      <c r="T35" s="214"/>
      <c r="U35" s="103" t="s">
        <v>172</v>
      </c>
      <c r="V35" s="103" t="s">
        <v>222</v>
      </c>
      <c r="W35" s="111" t="s">
        <v>225</v>
      </c>
      <c r="X35" s="14"/>
      <c r="Y35" s="14"/>
      <c r="Z35" s="14"/>
      <c r="AA35" s="14"/>
      <c r="AB35" s="14"/>
      <c r="AC35" s="14"/>
      <c r="AD35" s="14"/>
      <c r="AE35" s="14"/>
      <c r="AF35" s="14"/>
      <c r="AG35" s="14"/>
      <c r="AH35" s="14"/>
      <c r="AI35" s="14"/>
      <c r="AJ35" s="14"/>
      <c r="AK35" s="14"/>
      <c r="AL35" s="14"/>
      <c r="AM35" s="14"/>
      <c r="AQ35"/>
      <c r="AR35" t="str">
        <f t="shared" si="1"/>
        <v/>
      </c>
      <c r="AS35" s="85">
        <f t="shared" si="5"/>
        <v>0</v>
      </c>
      <c r="AT35" s="85"/>
      <c r="AU35" s="85">
        <f t="shared" si="2"/>
        <v>0</v>
      </c>
      <c r="AV35" s="85">
        <f t="shared" si="6"/>
        <v>0</v>
      </c>
      <c r="AW35">
        <f t="shared" si="7"/>
        <v>0</v>
      </c>
      <c r="AX35" s="86">
        <f>LN(AW35+$J$36)-LN($J$36)</f>
        <v>0</v>
      </c>
      <c r="AY35">
        <f t="shared" si="4"/>
        <v>0</v>
      </c>
      <c r="AZ35"/>
    </row>
    <row r="36" spans="1:52" ht="12" customHeight="1">
      <c r="A36" s="14"/>
      <c r="B36" s="328"/>
      <c r="C36" s="19" t="s">
        <v>20</v>
      </c>
      <c r="D36" s="333">
        <v>0.253</v>
      </c>
      <c r="E36" s="334"/>
      <c r="F36" s="335"/>
      <c r="G36" s="26">
        <v>2.41</v>
      </c>
      <c r="H36" s="336">
        <v>4.7</v>
      </c>
      <c r="I36" s="337"/>
      <c r="J36" s="338">
        <v>285.92</v>
      </c>
      <c r="K36" s="339"/>
      <c r="L36" s="339"/>
      <c r="M36" s="339"/>
      <c r="N36" s="340"/>
      <c r="O36" s="385">
        <v>1000</v>
      </c>
      <c r="P36" s="386"/>
      <c r="Q36" s="102">
        <v>288</v>
      </c>
      <c r="R36" s="104">
        <v>3337.06</v>
      </c>
      <c r="S36" s="204">
        <v>6.32</v>
      </c>
      <c r="T36" s="203"/>
      <c r="U36" s="185">
        <f>AVERAGE(36.46,36.59)</f>
        <v>36.525000000000006</v>
      </c>
      <c r="V36" s="185">
        <v>15</v>
      </c>
      <c r="W36" s="173">
        <v>0.43099999999999999</v>
      </c>
      <c r="X36" s="14"/>
      <c r="Y36" s="6"/>
      <c r="Z36" s="14"/>
      <c r="AA36" s="14"/>
      <c r="AB36" s="14"/>
      <c r="AC36" s="14"/>
      <c r="AD36" s="14"/>
      <c r="AE36" s="14"/>
      <c r="AF36" s="14"/>
      <c r="AG36" s="14"/>
      <c r="AH36" s="14"/>
      <c r="AI36" s="14"/>
      <c r="AJ36" s="14"/>
      <c r="AK36" s="14"/>
      <c r="AL36" s="14"/>
      <c r="AM36" s="14"/>
      <c r="AN36" s="14"/>
      <c r="AR36" t="str">
        <f t="shared" si="1"/>
        <v/>
      </c>
      <c r="AS36" s="85">
        <f t="shared" si="5"/>
        <v>0</v>
      </c>
      <c r="AT36" s="85"/>
      <c r="AU36" s="85">
        <f t="shared" si="2"/>
        <v>0</v>
      </c>
      <c r="AV36" s="85">
        <f t="shared" si="6"/>
        <v>0</v>
      </c>
      <c r="AW36">
        <f t="shared" si="7"/>
        <v>0</v>
      </c>
      <c r="AX36" s="86">
        <f>LN(AW36+$J$36)-LN($J$36)</f>
        <v>0</v>
      </c>
      <c r="AY36">
        <f t="shared" si="4"/>
        <v>0</v>
      </c>
      <c r="AZ36"/>
    </row>
    <row r="37" spans="1:52" ht="12" customHeight="1" thickBot="1">
      <c r="A37" s="14"/>
      <c r="B37" s="329"/>
      <c r="C37" s="20" t="s">
        <v>21</v>
      </c>
      <c r="D37" s="394" t="s">
        <v>22</v>
      </c>
      <c r="E37" s="394"/>
      <c r="F37" s="394"/>
      <c r="G37" s="393" t="s">
        <v>23</v>
      </c>
      <c r="H37" s="393"/>
      <c r="I37" s="393"/>
      <c r="J37" s="393"/>
      <c r="K37" s="393"/>
      <c r="L37" s="393"/>
      <c r="M37" s="393"/>
      <c r="N37" s="393"/>
      <c r="O37" s="393"/>
      <c r="P37" s="393"/>
      <c r="Q37" s="393"/>
      <c r="R37" s="364" t="s">
        <v>140</v>
      </c>
      <c r="S37" s="365"/>
      <c r="T37" s="366"/>
      <c r="U37" s="186" t="s">
        <v>185</v>
      </c>
      <c r="V37" s="187" t="s">
        <v>223</v>
      </c>
      <c r="W37" s="188" t="s">
        <v>307</v>
      </c>
      <c r="X37" s="14"/>
      <c r="Y37" s="6"/>
      <c r="Z37" s="14"/>
      <c r="AA37" s="14"/>
      <c r="AB37" s="14"/>
      <c r="AC37" s="14"/>
      <c r="AD37" s="14"/>
      <c r="AE37" s="14"/>
      <c r="AF37" s="14"/>
      <c r="AG37" s="14"/>
      <c r="AH37" s="14"/>
      <c r="AI37" s="14"/>
      <c r="AJ37" s="14"/>
      <c r="AK37" s="14"/>
      <c r="AL37" s="14"/>
      <c r="AM37" s="14"/>
      <c r="AN37" s="14"/>
      <c r="AO37" s="14"/>
      <c r="AP37" s="14"/>
      <c r="AR37" t="str">
        <f t="shared" si="1"/>
        <v/>
      </c>
      <c r="AS37" s="85">
        <f t="shared" si="5"/>
        <v>0</v>
      </c>
      <c r="AT37" s="85"/>
      <c r="AU37" s="85">
        <f t="shared" si="2"/>
        <v>0</v>
      </c>
      <c r="AV37" s="85">
        <f t="shared" si="6"/>
        <v>0</v>
      </c>
      <c r="AW37">
        <f t="shared" si="7"/>
        <v>0</v>
      </c>
      <c r="AX37" s="86">
        <f>LN(AW37+$J$36)-LN($J$36)</f>
        <v>0</v>
      </c>
      <c r="AY37">
        <f t="shared" si="4"/>
        <v>0</v>
      </c>
      <c r="AZ37"/>
    </row>
    <row r="38" spans="1:52" s="14" customFormat="1" ht="14">
      <c r="J38" s="148"/>
      <c r="K38" s="148"/>
      <c r="L38" s="148"/>
      <c r="M38" s="148"/>
      <c r="Y38" s="6"/>
      <c r="AR38" s="117" t="str">
        <f t="shared" si="1"/>
        <v/>
      </c>
      <c r="AS38" s="183">
        <f t="shared" si="5"/>
        <v>0</v>
      </c>
      <c r="AT38" s="183"/>
      <c r="AU38" s="183">
        <f t="shared" si="2"/>
        <v>0</v>
      </c>
      <c r="AV38" s="183">
        <f t="shared" si="6"/>
        <v>0</v>
      </c>
      <c r="AW38" s="117">
        <f t="shared" si="7"/>
        <v>0</v>
      </c>
      <c r="AX38" s="184">
        <f t="shared" ref="AX38:AX101" si="8">LN(AW38+$J$36)-LN($J$36)</f>
        <v>0</v>
      </c>
      <c r="AY38" s="117">
        <f t="shared" si="4"/>
        <v>0</v>
      </c>
      <c r="AZ38" s="117"/>
    </row>
    <row r="39" spans="1:52" s="14" customFormat="1" ht="14">
      <c r="AR39" s="117" t="str">
        <f t="shared" si="1"/>
        <v/>
      </c>
      <c r="AS39" s="183">
        <f t="shared" si="5"/>
        <v>0</v>
      </c>
      <c r="AT39" s="183"/>
      <c r="AU39" s="183">
        <f t="shared" si="2"/>
        <v>0</v>
      </c>
      <c r="AV39" s="183">
        <f t="shared" si="6"/>
        <v>0</v>
      </c>
      <c r="AW39" s="117">
        <f t="shared" si="7"/>
        <v>0</v>
      </c>
      <c r="AX39" s="184">
        <f t="shared" si="8"/>
        <v>0</v>
      </c>
      <c r="AY39" s="117">
        <f t="shared" si="4"/>
        <v>0</v>
      </c>
      <c r="AZ39" s="117"/>
    </row>
    <row r="40" spans="1:52" s="14" customFormat="1" ht="14">
      <c r="AR40" s="117" t="str">
        <f t="shared" si="1"/>
        <v/>
      </c>
      <c r="AS40" s="183">
        <f t="shared" si="5"/>
        <v>0</v>
      </c>
      <c r="AT40" s="183"/>
      <c r="AU40" s="183">
        <f t="shared" si="2"/>
        <v>0</v>
      </c>
      <c r="AV40" s="183">
        <f t="shared" si="6"/>
        <v>0</v>
      </c>
      <c r="AW40" s="117">
        <f t="shared" si="7"/>
        <v>0</v>
      </c>
      <c r="AX40" s="184">
        <f t="shared" si="8"/>
        <v>0</v>
      </c>
      <c r="AY40" s="117">
        <f t="shared" si="4"/>
        <v>0</v>
      </c>
      <c r="AZ40" s="117"/>
    </row>
    <row r="41" spans="1:52" s="14" customFormat="1" ht="14">
      <c r="AR41" s="117" t="str">
        <f t="shared" si="1"/>
        <v/>
      </c>
      <c r="AS41" s="183">
        <f t="shared" si="5"/>
        <v>0</v>
      </c>
      <c r="AT41" s="183"/>
      <c r="AU41" s="183">
        <f t="shared" si="2"/>
        <v>0</v>
      </c>
      <c r="AV41" s="183">
        <f t="shared" si="6"/>
        <v>0</v>
      </c>
      <c r="AW41" s="117">
        <f t="shared" si="7"/>
        <v>0</v>
      </c>
      <c r="AX41" s="184">
        <f t="shared" si="8"/>
        <v>0</v>
      </c>
      <c r="AY41" s="117">
        <f t="shared" si="4"/>
        <v>0</v>
      </c>
      <c r="AZ41" s="117"/>
    </row>
    <row r="42" spans="1:52" s="14" customFormat="1" ht="14">
      <c r="AR42" s="117" t="str">
        <f t="shared" si="1"/>
        <v/>
      </c>
      <c r="AS42" s="183">
        <f t="shared" si="5"/>
        <v>0</v>
      </c>
      <c r="AT42" s="183"/>
      <c r="AU42" s="183">
        <f t="shared" si="2"/>
        <v>0</v>
      </c>
      <c r="AV42" s="183">
        <f t="shared" si="6"/>
        <v>0</v>
      </c>
      <c r="AW42" s="117">
        <f t="shared" si="7"/>
        <v>0</v>
      </c>
      <c r="AX42" s="184">
        <f t="shared" si="8"/>
        <v>0</v>
      </c>
      <c r="AY42" s="117">
        <f t="shared" si="4"/>
        <v>0</v>
      </c>
      <c r="AZ42" s="117"/>
    </row>
    <row r="43" spans="1:52" s="14" customFormat="1" ht="14">
      <c r="AR43" s="117" t="str">
        <f t="shared" si="1"/>
        <v/>
      </c>
      <c r="AS43" s="183">
        <f t="shared" si="5"/>
        <v>0</v>
      </c>
      <c r="AT43" s="183"/>
      <c r="AU43" s="183">
        <f t="shared" si="2"/>
        <v>0</v>
      </c>
      <c r="AV43" s="183">
        <f t="shared" si="6"/>
        <v>0</v>
      </c>
      <c r="AW43" s="117">
        <f t="shared" si="7"/>
        <v>0</v>
      </c>
      <c r="AX43" s="184">
        <f t="shared" si="8"/>
        <v>0</v>
      </c>
      <c r="AY43" s="117">
        <f t="shared" si="4"/>
        <v>0</v>
      </c>
      <c r="AZ43" s="117"/>
    </row>
    <row r="44" spans="1:52" s="14" customFormat="1" ht="14">
      <c r="AR44" s="117" t="str">
        <f t="shared" si="1"/>
        <v/>
      </c>
      <c r="AS44" s="183">
        <f t="shared" si="5"/>
        <v>0</v>
      </c>
      <c r="AT44" s="183"/>
      <c r="AU44" s="183">
        <f t="shared" si="2"/>
        <v>0</v>
      </c>
      <c r="AV44" s="183">
        <f t="shared" si="6"/>
        <v>0</v>
      </c>
      <c r="AW44" s="117">
        <f t="shared" si="7"/>
        <v>0</v>
      </c>
      <c r="AX44" s="184">
        <f t="shared" si="8"/>
        <v>0</v>
      </c>
      <c r="AY44" s="117">
        <f t="shared" si="4"/>
        <v>0</v>
      </c>
      <c r="AZ44" s="117"/>
    </row>
    <row r="45" spans="1:52" s="14" customFormat="1" ht="14">
      <c r="AR45" s="117" t="str">
        <f t="shared" si="1"/>
        <v/>
      </c>
      <c r="AS45" s="183">
        <f t="shared" si="5"/>
        <v>0</v>
      </c>
      <c r="AT45" s="183"/>
      <c r="AU45" s="183">
        <f t="shared" si="2"/>
        <v>0</v>
      </c>
      <c r="AV45" s="183">
        <f t="shared" si="6"/>
        <v>0</v>
      </c>
      <c r="AW45" s="117">
        <f t="shared" si="7"/>
        <v>0</v>
      </c>
      <c r="AX45" s="184">
        <f t="shared" si="8"/>
        <v>0</v>
      </c>
      <c r="AY45" s="117">
        <f t="shared" si="4"/>
        <v>0</v>
      </c>
      <c r="AZ45" s="117"/>
    </row>
    <row r="46" spans="1:52" s="14" customFormat="1" ht="14">
      <c r="AR46" s="117" t="str">
        <f t="shared" si="1"/>
        <v/>
      </c>
      <c r="AS46" s="183">
        <f t="shared" si="5"/>
        <v>0</v>
      </c>
      <c r="AT46" s="183"/>
      <c r="AU46" s="183">
        <f t="shared" si="2"/>
        <v>0</v>
      </c>
      <c r="AV46" s="183">
        <f t="shared" si="6"/>
        <v>0</v>
      </c>
      <c r="AW46" s="117">
        <f t="shared" si="7"/>
        <v>0</v>
      </c>
      <c r="AX46" s="184">
        <f t="shared" si="8"/>
        <v>0</v>
      </c>
      <c r="AY46" s="117">
        <f t="shared" si="4"/>
        <v>0</v>
      </c>
      <c r="AZ46" s="117"/>
    </row>
    <row r="47" spans="1:52" s="14" customFormat="1" ht="14">
      <c r="AR47" s="117" t="str">
        <f t="shared" si="1"/>
        <v/>
      </c>
      <c r="AS47" s="183">
        <f t="shared" si="5"/>
        <v>0</v>
      </c>
      <c r="AT47" s="183"/>
      <c r="AU47" s="183">
        <f t="shared" si="2"/>
        <v>0</v>
      </c>
      <c r="AV47" s="183">
        <f t="shared" si="6"/>
        <v>0</v>
      </c>
      <c r="AW47" s="117">
        <f t="shared" si="7"/>
        <v>0</v>
      </c>
      <c r="AX47" s="184">
        <f t="shared" si="8"/>
        <v>0</v>
      </c>
      <c r="AY47" s="117">
        <f t="shared" si="4"/>
        <v>0</v>
      </c>
      <c r="AZ47" s="117"/>
    </row>
    <row r="48" spans="1:52" s="14" customFormat="1" ht="14">
      <c r="AR48" s="117" t="str">
        <f t="shared" si="1"/>
        <v/>
      </c>
      <c r="AS48" s="183">
        <f t="shared" si="5"/>
        <v>0</v>
      </c>
      <c r="AT48" s="183"/>
      <c r="AU48" s="183">
        <f t="shared" si="2"/>
        <v>0</v>
      </c>
      <c r="AV48" s="183">
        <f t="shared" si="6"/>
        <v>0</v>
      </c>
      <c r="AW48" s="117">
        <f t="shared" si="7"/>
        <v>0</v>
      </c>
      <c r="AX48" s="184">
        <f t="shared" si="8"/>
        <v>0</v>
      </c>
      <c r="AY48" s="117">
        <f t="shared" si="4"/>
        <v>0</v>
      </c>
      <c r="AZ48" s="117"/>
    </row>
    <row r="49" spans="44:52" s="14" customFormat="1" ht="14">
      <c r="AR49" s="117" t="str">
        <f t="shared" si="1"/>
        <v/>
      </c>
      <c r="AS49" s="183">
        <f t="shared" si="5"/>
        <v>0</v>
      </c>
      <c r="AT49" s="183"/>
      <c r="AU49" s="183">
        <f t="shared" si="2"/>
        <v>0</v>
      </c>
      <c r="AV49" s="183">
        <f t="shared" si="6"/>
        <v>0</v>
      </c>
      <c r="AW49" s="117">
        <f t="shared" si="7"/>
        <v>0</v>
      </c>
      <c r="AX49" s="184">
        <f t="shared" si="8"/>
        <v>0</v>
      </c>
      <c r="AY49" s="117">
        <f t="shared" si="4"/>
        <v>0</v>
      </c>
      <c r="AZ49" s="117"/>
    </row>
    <row r="50" spans="44:52" s="14" customFormat="1" ht="14">
      <c r="AR50" s="117" t="str">
        <f t="shared" si="1"/>
        <v/>
      </c>
      <c r="AS50" s="183">
        <f t="shared" si="5"/>
        <v>0</v>
      </c>
      <c r="AT50" s="183"/>
      <c r="AU50" s="183">
        <f t="shared" si="2"/>
        <v>0</v>
      </c>
      <c r="AV50" s="183">
        <f t="shared" si="6"/>
        <v>0</v>
      </c>
      <c r="AW50" s="117">
        <f t="shared" si="7"/>
        <v>0</v>
      </c>
      <c r="AX50" s="184">
        <f t="shared" si="8"/>
        <v>0</v>
      </c>
      <c r="AY50" s="117">
        <f t="shared" si="4"/>
        <v>0</v>
      </c>
      <c r="AZ50" s="117"/>
    </row>
    <row r="51" spans="44:52" s="14" customFormat="1" ht="14">
      <c r="AR51" s="117" t="str">
        <f t="shared" si="1"/>
        <v/>
      </c>
      <c r="AS51" s="183">
        <f t="shared" si="5"/>
        <v>0</v>
      </c>
      <c r="AT51" s="183"/>
      <c r="AU51" s="183">
        <f t="shared" si="2"/>
        <v>0</v>
      </c>
      <c r="AV51" s="183">
        <f t="shared" si="6"/>
        <v>0</v>
      </c>
      <c r="AW51" s="117">
        <f t="shared" si="7"/>
        <v>0</v>
      </c>
      <c r="AX51" s="184">
        <f t="shared" si="8"/>
        <v>0</v>
      </c>
      <c r="AY51" s="117">
        <f t="shared" si="4"/>
        <v>0</v>
      </c>
      <c r="AZ51" s="117"/>
    </row>
    <row r="52" spans="44:52" s="14" customFormat="1" ht="14">
      <c r="AR52" s="117" t="str">
        <f t="shared" si="1"/>
        <v/>
      </c>
      <c r="AS52" s="183">
        <f t="shared" si="5"/>
        <v>0</v>
      </c>
      <c r="AT52" s="183"/>
      <c r="AU52" s="183">
        <f t="shared" si="2"/>
        <v>0</v>
      </c>
      <c r="AV52" s="183">
        <f t="shared" si="6"/>
        <v>0</v>
      </c>
      <c r="AW52" s="117">
        <f t="shared" si="7"/>
        <v>0</v>
      </c>
      <c r="AX52" s="184">
        <f t="shared" si="8"/>
        <v>0</v>
      </c>
      <c r="AY52" s="117">
        <f t="shared" si="4"/>
        <v>0</v>
      </c>
      <c r="AZ52" s="117"/>
    </row>
    <row r="53" spans="44:52" s="14" customFormat="1" ht="14">
      <c r="AR53" s="117" t="str">
        <f t="shared" si="1"/>
        <v/>
      </c>
      <c r="AS53" s="183">
        <f t="shared" si="5"/>
        <v>0</v>
      </c>
      <c r="AT53" s="183"/>
      <c r="AU53" s="183">
        <f t="shared" si="2"/>
        <v>0</v>
      </c>
      <c r="AV53" s="183">
        <f t="shared" si="6"/>
        <v>0</v>
      </c>
      <c r="AW53" s="117">
        <f t="shared" si="7"/>
        <v>0</v>
      </c>
      <c r="AX53" s="184">
        <f t="shared" si="8"/>
        <v>0</v>
      </c>
      <c r="AY53" s="117">
        <f t="shared" si="4"/>
        <v>0</v>
      </c>
      <c r="AZ53" s="117"/>
    </row>
    <row r="54" spans="44:52" s="14" customFormat="1" ht="14">
      <c r="AR54" s="117" t="str">
        <f t="shared" si="1"/>
        <v/>
      </c>
      <c r="AS54" s="183">
        <f t="shared" si="5"/>
        <v>0</v>
      </c>
      <c r="AT54" s="183"/>
      <c r="AU54" s="183">
        <f t="shared" si="2"/>
        <v>0</v>
      </c>
      <c r="AV54" s="183">
        <f t="shared" si="6"/>
        <v>0</v>
      </c>
      <c r="AW54" s="117">
        <f t="shared" si="7"/>
        <v>0</v>
      </c>
      <c r="AX54" s="184">
        <f t="shared" si="8"/>
        <v>0</v>
      </c>
      <c r="AY54" s="117">
        <f t="shared" si="4"/>
        <v>0</v>
      </c>
      <c r="AZ54" s="117"/>
    </row>
    <row r="55" spans="44:52" s="14" customFormat="1" ht="14">
      <c r="AR55" s="117" t="str">
        <f t="shared" si="1"/>
        <v/>
      </c>
      <c r="AS55" s="183">
        <f t="shared" si="5"/>
        <v>0</v>
      </c>
      <c r="AT55" s="183"/>
      <c r="AU55" s="183">
        <f t="shared" si="2"/>
        <v>0</v>
      </c>
      <c r="AV55" s="183">
        <f t="shared" si="6"/>
        <v>0</v>
      </c>
      <c r="AW55" s="117">
        <f t="shared" si="7"/>
        <v>0</v>
      </c>
      <c r="AX55" s="184">
        <f t="shared" si="8"/>
        <v>0</v>
      </c>
      <c r="AY55" s="117">
        <f t="shared" si="4"/>
        <v>0</v>
      </c>
      <c r="AZ55" s="117"/>
    </row>
    <row r="56" spans="44:52" s="14" customFormat="1" ht="14">
      <c r="AR56" s="117" t="str">
        <f t="shared" si="1"/>
        <v/>
      </c>
      <c r="AS56" s="183">
        <f t="shared" si="5"/>
        <v>0</v>
      </c>
      <c r="AT56" s="183"/>
      <c r="AU56" s="183">
        <f t="shared" si="2"/>
        <v>0</v>
      </c>
      <c r="AV56" s="183">
        <f t="shared" si="6"/>
        <v>0</v>
      </c>
      <c r="AW56" s="117">
        <f t="shared" si="7"/>
        <v>0</v>
      </c>
      <c r="AX56" s="184">
        <f t="shared" si="8"/>
        <v>0</v>
      </c>
      <c r="AY56" s="117">
        <f t="shared" si="4"/>
        <v>0</v>
      </c>
      <c r="AZ56" s="117"/>
    </row>
    <row r="57" spans="44:52" s="14" customFormat="1" ht="14">
      <c r="AR57" s="117" t="str">
        <f t="shared" si="1"/>
        <v/>
      </c>
      <c r="AS57" s="183">
        <f t="shared" si="5"/>
        <v>0</v>
      </c>
      <c r="AT57" s="183"/>
      <c r="AU57" s="183">
        <f t="shared" si="2"/>
        <v>0</v>
      </c>
      <c r="AV57" s="183">
        <f t="shared" si="6"/>
        <v>0</v>
      </c>
      <c r="AW57" s="117">
        <f t="shared" si="7"/>
        <v>0</v>
      </c>
      <c r="AX57" s="184">
        <f t="shared" si="8"/>
        <v>0</v>
      </c>
      <c r="AY57" s="117">
        <f t="shared" si="4"/>
        <v>0</v>
      </c>
      <c r="AZ57" s="117"/>
    </row>
    <row r="58" spans="44:52" s="14" customFormat="1" ht="14">
      <c r="AR58" s="117" t="str">
        <f t="shared" si="1"/>
        <v/>
      </c>
      <c r="AS58" s="183">
        <f t="shared" si="5"/>
        <v>0</v>
      </c>
      <c r="AT58" s="183"/>
      <c r="AU58" s="183">
        <f t="shared" si="2"/>
        <v>0</v>
      </c>
      <c r="AV58" s="183">
        <f t="shared" si="6"/>
        <v>0</v>
      </c>
      <c r="AW58" s="117">
        <f t="shared" si="7"/>
        <v>0</v>
      </c>
      <c r="AX58" s="184">
        <f t="shared" si="8"/>
        <v>0</v>
      </c>
      <c r="AY58" s="117">
        <f t="shared" si="4"/>
        <v>0</v>
      </c>
      <c r="AZ58" s="117"/>
    </row>
    <row r="59" spans="44:52" s="14" customFormat="1" ht="14">
      <c r="AR59" s="117" t="str">
        <f t="shared" si="1"/>
        <v/>
      </c>
      <c r="AS59" s="183">
        <f t="shared" si="5"/>
        <v>0</v>
      </c>
      <c r="AT59" s="183"/>
      <c r="AU59" s="183">
        <f t="shared" si="2"/>
        <v>0</v>
      </c>
      <c r="AV59" s="183">
        <f t="shared" si="6"/>
        <v>0</v>
      </c>
      <c r="AW59" s="117">
        <f t="shared" si="7"/>
        <v>0</v>
      </c>
      <c r="AX59" s="184">
        <f t="shared" si="8"/>
        <v>0</v>
      </c>
      <c r="AY59" s="117">
        <f t="shared" si="4"/>
        <v>0</v>
      </c>
      <c r="AZ59" s="117"/>
    </row>
    <row r="60" spans="44:52" s="14" customFormat="1" ht="14">
      <c r="AR60" s="117" t="str">
        <f t="shared" si="1"/>
        <v/>
      </c>
      <c r="AS60" s="183">
        <f t="shared" si="5"/>
        <v>0</v>
      </c>
      <c r="AT60" s="183"/>
      <c r="AU60" s="183">
        <f t="shared" si="2"/>
        <v>0</v>
      </c>
      <c r="AV60" s="183">
        <f t="shared" si="6"/>
        <v>0</v>
      </c>
      <c r="AW60" s="117">
        <f t="shared" si="7"/>
        <v>0</v>
      </c>
      <c r="AX60" s="184">
        <f t="shared" si="8"/>
        <v>0</v>
      </c>
      <c r="AY60" s="117">
        <f t="shared" si="4"/>
        <v>0</v>
      </c>
      <c r="AZ60" s="117"/>
    </row>
    <row r="61" spans="44:52" s="14" customFormat="1" ht="14">
      <c r="AR61" s="117" t="str">
        <f t="shared" si="1"/>
        <v/>
      </c>
      <c r="AS61" s="183">
        <f t="shared" si="5"/>
        <v>0</v>
      </c>
      <c r="AT61" s="183"/>
      <c r="AU61" s="183">
        <f t="shared" si="2"/>
        <v>0</v>
      </c>
      <c r="AV61" s="183">
        <f t="shared" si="6"/>
        <v>0</v>
      </c>
      <c r="AW61" s="117">
        <f t="shared" si="7"/>
        <v>0</v>
      </c>
      <c r="AX61" s="184">
        <f t="shared" si="8"/>
        <v>0</v>
      </c>
      <c r="AY61" s="117">
        <f t="shared" si="4"/>
        <v>0</v>
      </c>
      <c r="AZ61" s="117"/>
    </row>
    <row r="62" spans="44:52" s="14" customFormat="1" ht="14">
      <c r="AR62" s="117" t="str">
        <f t="shared" si="1"/>
        <v/>
      </c>
      <c r="AS62" s="183">
        <f t="shared" si="5"/>
        <v>0</v>
      </c>
      <c r="AT62" s="183"/>
      <c r="AU62" s="183">
        <f t="shared" si="2"/>
        <v>0</v>
      </c>
      <c r="AV62" s="183">
        <f t="shared" si="6"/>
        <v>0</v>
      </c>
      <c r="AW62" s="117">
        <f t="shared" si="7"/>
        <v>0</v>
      </c>
      <c r="AX62" s="184">
        <f t="shared" si="8"/>
        <v>0</v>
      </c>
      <c r="AY62" s="117">
        <f t="shared" si="4"/>
        <v>0</v>
      </c>
      <c r="AZ62" s="117"/>
    </row>
    <row r="63" spans="44:52" s="14" customFormat="1" ht="14">
      <c r="AR63" s="117" t="str">
        <f t="shared" si="1"/>
        <v/>
      </c>
      <c r="AS63" s="183">
        <f t="shared" si="5"/>
        <v>0</v>
      </c>
      <c r="AT63" s="183"/>
      <c r="AU63" s="183">
        <f t="shared" si="2"/>
        <v>0</v>
      </c>
      <c r="AV63" s="183">
        <f t="shared" si="6"/>
        <v>0</v>
      </c>
      <c r="AW63" s="117">
        <f t="shared" si="7"/>
        <v>0</v>
      </c>
      <c r="AX63" s="184">
        <f t="shared" si="8"/>
        <v>0</v>
      </c>
      <c r="AY63" s="117">
        <f t="shared" si="4"/>
        <v>0</v>
      </c>
      <c r="AZ63" s="117"/>
    </row>
    <row r="64" spans="44:52" s="14" customFormat="1" ht="14">
      <c r="AR64" s="117" t="str">
        <f t="shared" si="1"/>
        <v/>
      </c>
      <c r="AS64" s="183">
        <f t="shared" si="5"/>
        <v>0</v>
      </c>
      <c r="AT64" s="183"/>
      <c r="AU64" s="183">
        <f t="shared" si="2"/>
        <v>0</v>
      </c>
      <c r="AV64" s="183">
        <f t="shared" si="6"/>
        <v>0</v>
      </c>
      <c r="AW64" s="117">
        <f t="shared" si="7"/>
        <v>0</v>
      </c>
      <c r="AX64" s="184">
        <f t="shared" si="8"/>
        <v>0</v>
      </c>
      <c r="AY64" s="117">
        <f t="shared" si="4"/>
        <v>0</v>
      </c>
      <c r="AZ64" s="117"/>
    </row>
    <row r="65" spans="44:52" s="14" customFormat="1" ht="14">
      <c r="AR65" s="117" t="str">
        <f t="shared" si="1"/>
        <v/>
      </c>
      <c r="AS65" s="183">
        <f t="shared" si="5"/>
        <v>0</v>
      </c>
      <c r="AT65" s="183"/>
      <c r="AU65" s="183">
        <f t="shared" si="2"/>
        <v>0</v>
      </c>
      <c r="AV65" s="183">
        <f t="shared" si="6"/>
        <v>0</v>
      </c>
      <c r="AW65" s="117">
        <f t="shared" si="7"/>
        <v>0</v>
      </c>
      <c r="AX65" s="184">
        <f t="shared" si="8"/>
        <v>0</v>
      </c>
      <c r="AY65" s="117">
        <f t="shared" si="4"/>
        <v>0</v>
      </c>
      <c r="AZ65" s="117"/>
    </row>
    <row r="66" spans="44:52" s="14" customFormat="1" ht="14">
      <c r="AR66" s="117" t="str">
        <f t="shared" si="1"/>
        <v/>
      </c>
      <c r="AS66" s="183">
        <f t="shared" si="5"/>
        <v>0</v>
      </c>
      <c r="AT66" s="183"/>
      <c r="AU66" s="183">
        <f t="shared" si="2"/>
        <v>0</v>
      </c>
      <c r="AV66" s="183">
        <f t="shared" si="6"/>
        <v>0</v>
      </c>
      <c r="AW66" s="117">
        <f t="shared" si="7"/>
        <v>0</v>
      </c>
      <c r="AX66" s="184">
        <f t="shared" si="8"/>
        <v>0</v>
      </c>
      <c r="AY66" s="117">
        <f t="shared" si="4"/>
        <v>0</v>
      </c>
      <c r="AZ66" s="117"/>
    </row>
    <row r="67" spans="44:52" s="14" customFormat="1" ht="14">
      <c r="AR67" s="117" t="str">
        <f t="shared" si="1"/>
        <v/>
      </c>
      <c r="AS67" s="183">
        <f t="shared" si="5"/>
        <v>0</v>
      </c>
      <c r="AT67" s="183"/>
      <c r="AU67" s="183">
        <f t="shared" si="2"/>
        <v>0</v>
      </c>
      <c r="AV67" s="183">
        <f t="shared" si="6"/>
        <v>0</v>
      </c>
      <c r="AW67" s="117">
        <f t="shared" si="7"/>
        <v>0</v>
      </c>
      <c r="AX67" s="184">
        <f t="shared" si="8"/>
        <v>0</v>
      </c>
      <c r="AY67" s="117">
        <f t="shared" si="4"/>
        <v>0</v>
      </c>
      <c r="AZ67" s="117"/>
    </row>
    <row r="68" spans="44:52" s="14" customFormat="1" ht="14">
      <c r="AR68" s="117" t="str">
        <f t="shared" si="1"/>
        <v/>
      </c>
      <c r="AS68" s="183">
        <f t="shared" si="5"/>
        <v>0</v>
      </c>
      <c r="AT68" s="183"/>
      <c r="AU68" s="183">
        <f t="shared" si="2"/>
        <v>0</v>
      </c>
      <c r="AV68" s="183">
        <f t="shared" si="6"/>
        <v>0</v>
      </c>
      <c r="AW68" s="117">
        <f t="shared" si="7"/>
        <v>0</v>
      </c>
      <c r="AX68" s="184">
        <f t="shared" si="8"/>
        <v>0</v>
      </c>
      <c r="AY68" s="117">
        <f t="shared" si="4"/>
        <v>0</v>
      </c>
      <c r="AZ68" s="117"/>
    </row>
    <row r="69" spans="44:52" s="14" customFormat="1" ht="14">
      <c r="AR69" s="117" t="str">
        <f t="shared" ref="AR69:AR113" si="9">IF(AR68&lt;$D$14,AR68+1,"")</f>
        <v/>
      </c>
      <c r="AS69" s="183">
        <f t="shared" si="5"/>
        <v>0</v>
      </c>
      <c r="AT69" s="183"/>
      <c r="AU69" s="183">
        <f t="shared" si="2"/>
        <v>0</v>
      </c>
      <c r="AV69" s="183">
        <f t="shared" si="6"/>
        <v>0</v>
      </c>
      <c r="AW69" s="117">
        <f t="shared" si="7"/>
        <v>0</v>
      </c>
      <c r="AX69" s="184">
        <f t="shared" si="8"/>
        <v>0</v>
      </c>
      <c r="AY69" s="117">
        <f t="shared" si="4"/>
        <v>0</v>
      </c>
      <c r="AZ69" s="117"/>
    </row>
    <row r="70" spans="44:52" s="14" customFormat="1" ht="14">
      <c r="AR70" s="117" t="str">
        <f t="shared" si="9"/>
        <v/>
      </c>
      <c r="AS70" s="183">
        <f t="shared" si="5"/>
        <v>0</v>
      </c>
      <c r="AT70" s="183"/>
      <c r="AU70" s="183">
        <f t="shared" si="2"/>
        <v>0</v>
      </c>
      <c r="AV70" s="183">
        <f t="shared" si="6"/>
        <v>0</v>
      </c>
      <c r="AW70" s="117">
        <f t="shared" si="7"/>
        <v>0</v>
      </c>
      <c r="AX70" s="184">
        <f t="shared" si="8"/>
        <v>0</v>
      </c>
      <c r="AY70" s="117">
        <f t="shared" si="4"/>
        <v>0</v>
      </c>
      <c r="AZ70" s="117"/>
    </row>
    <row r="71" spans="44:52" s="14" customFormat="1" ht="14">
      <c r="AR71" s="117" t="str">
        <f t="shared" si="9"/>
        <v/>
      </c>
      <c r="AS71" s="183">
        <f t="shared" si="5"/>
        <v>0</v>
      </c>
      <c r="AT71" s="183"/>
      <c r="AU71" s="183">
        <f t="shared" ref="AU71:AU113" si="10">$D$10*AS71</f>
        <v>0</v>
      </c>
      <c r="AV71" s="183">
        <f t="shared" si="6"/>
        <v>0</v>
      </c>
      <c r="AW71" s="117">
        <f t="shared" si="7"/>
        <v>0</v>
      </c>
      <c r="AX71" s="184">
        <f t="shared" si="8"/>
        <v>0</v>
      </c>
      <c r="AY71" s="117">
        <f t="shared" ref="AY71:AY113" si="11">IF(ISNUMBER(AR71),AX71/(1+$D$7)^AR71,0)</f>
        <v>0</v>
      </c>
      <c r="AZ71" s="117"/>
    </row>
    <row r="72" spans="44:52" s="14" customFormat="1" ht="14">
      <c r="AR72" s="117" t="str">
        <f t="shared" si="9"/>
        <v/>
      </c>
      <c r="AS72" s="183">
        <f t="shared" ref="AS72:AS113" si="12">IF(ISNUMBER(AR72),AV71,0)</f>
        <v>0</v>
      </c>
      <c r="AT72" s="183"/>
      <c r="AU72" s="183">
        <f t="shared" si="10"/>
        <v>0</v>
      </c>
      <c r="AV72" s="183">
        <f t="shared" ref="AV72:AV113" si="13">AS72</f>
        <v>0</v>
      </c>
      <c r="AW72" s="117">
        <f t="shared" si="7"/>
        <v>0</v>
      </c>
      <c r="AX72" s="184">
        <f t="shared" si="8"/>
        <v>0</v>
      </c>
      <c r="AY72" s="117">
        <f t="shared" si="11"/>
        <v>0</v>
      </c>
      <c r="AZ72" s="117"/>
    </row>
    <row r="73" spans="44:52" s="14" customFormat="1" ht="14">
      <c r="AR73" s="117" t="str">
        <f t="shared" si="9"/>
        <v/>
      </c>
      <c r="AS73" s="183">
        <f t="shared" si="12"/>
        <v>0</v>
      </c>
      <c r="AT73" s="183"/>
      <c r="AU73" s="183">
        <f t="shared" si="10"/>
        <v>0</v>
      </c>
      <c r="AV73" s="183">
        <f t="shared" si="13"/>
        <v>0</v>
      </c>
      <c r="AW73" s="117">
        <f t="shared" si="7"/>
        <v>0</v>
      </c>
      <c r="AX73" s="184">
        <f t="shared" si="8"/>
        <v>0</v>
      </c>
      <c r="AY73" s="117">
        <f t="shared" si="11"/>
        <v>0</v>
      </c>
      <c r="AZ73" s="117"/>
    </row>
    <row r="74" spans="44:52" s="14" customFormat="1" ht="14">
      <c r="AR74" s="117" t="str">
        <f t="shared" si="9"/>
        <v/>
      </c>
      <c r="AS74" s="183">
        <f t="shared" si="12"/>
        <v>0</v>
      </c>
      <c r="AT74" s="183"/>
      <c r="AU74" s="183">
        <f t="shared" si="10"/>
        <v>0</v>
      </c>
      <c r="AV74" s="183">
        <f t="shared" si="13"/>
        <v>0</v>
      </c>
      <c r="AW74" s="117">
        <f t="shared" si="7"/>
        <v>0</v>
      </c>
      <c r="AX74" s="184">
        <f t="shared" si="8"/>
        <v>0</v>
      </c>
      <c r="AY74" s="117">
        <f t="shared" si="11"/>
        <v>0</v>
      </c>
      <c r="AZ74" s="117"/>
    </row>
    <row r="75" spans="44:52" s="14" customFormat="1" ht="14">
      <c r="AR75" s="117" t="str">
        <f t="shared" si="9"/>
        <v/>
      </c>
      <c r="AS75" s="183">
        <f t="shared" si="12"/>
        <v>0</v>
      </c>
      <c r="AT75" s="183"/>
      <c r="AU75" s="183">
        <f t="shared" si="10"/>
        <v>0</v>
      </c>
      <c r="AV75" s="183">
        <f t="shared" si="13"/>
        <v>0</v>
      </c>
      <c r="AW75" s="117">
        <f t="shared" si="7"/>
        <v>0</v>
      </c>
      <c r="AX75" s="184">
        <f t="shared" si="8"/>
        <v>0</v>
      </c>
      <c r="AY75" s="117">
        <f t="shared" si="11"/>
        <v>0</v>
      </c>
      <c r="AZ75" s="117"/>
    </row>
    <row r="76" spans="44:52" s="14" customFormat="1" ht="14">
      <c r="AR76" s="117" t="str">
        <f t="shared" si="9"/>
        <v/>
      </c>
      <c r="AS76" s="183">
        <f t="shared" si="12"/>
        <v>0</v>
      </c>
      <c r="AT76" s="183"/>
      <c r="AU76" s="183">
        <f t="shared" si="10"/>
        <v>0</v>
      </c>
      <c r="AV76" s="183">
        <f t="shared" si="13"/>
        <v>0</v>
      </c>
      <c r="AW76" s="117">
        <f t="shared" si="7"/>
        <v>0</v>
      </c>
      <c r="AX76" s="184">
        <f t="shared" si="8"/>
        <v>0</v>
      </c>
      <c r="AY76" s="117">
        <f t="shared" si="11"/>
        <v>0</v>
      </c>
      <c r="AZ76" s="117"/>
    </row>
    <row r="77" spans="44:52" s="14" customFormat="1" ht="14">
      <c r="AR77" s="117" t="str">
        <f t="shared" si="9"/>
        <v/>
      </c>
      <c r="AS77" s="183">
        <f t="shared" si="12"/>
        <v>0</v>
      </c>
      <c r="AT77" s="183"/>
      <c r="AU77" s="183">
        <f t="shared" si="10"/>
        <v>0</v>
      </c>
      <c r="AV77" s="183">
        <f t="shared" si="13"/>
        <v>0</v>
      </c>
      <c r="AW77" s="117">
        <f t="shared" si="7"/>
        <v>0</v>
      </c>
      <c r="AX77" s="184">
        <f t="shared" si="8"/>
        <v>0</v>
      </c>
      <c r="AY77" s="117">
        <f t="shared" si="11"/>
        <v>0</v>
      </c>
      <c r="AZ77" s="117"/>
    </row>
    <row r="78" spans="44:52" s="14" customFormat="1" ht="14">
      <c r="AR78" s="117" t="str">
        <f t="shared" si="9"/>
        <v/>
      </c>
      <c r="AS78" s="183">
        <f t="shared" si="12"/>
        <v>0</v>
      </c>
      <c r="AT78" s="183"/>
      <c r="AU78" s="183">
        <f t="shared" si="10"/>
        <v>0</v>
      </c>
      <c r="AV78" s="183">
        <f t="shared" si="13"/>
        <v>0</v>
      </c>
      <c r="AW78" s="117">
        <f t="shared" si="7"/>
        <v>0</v>
      </c>
      <c r="AX78" s="184">
        <f t="shared" si="8"/>
        <v>0</v>
      </c>
      <c r="AY78" s="117">
        <f t="shared" si="11"/>
        <v>0</v>
      </c>
      <c r="AZ78" s="117"/>
    </row>
    <row r="79" spans="44:52" s="14" customFormat="1" ht="14">
      <c r="AR79" s="117" t="str">
        <f t="shared" si="9"/>
        <v/>
      </c>
      <c r="AS79" s="183">
        <f t="shared" si="12"/>
        <v>0</v>
      </c>
      <c r="AT79" s="183"/>
      <c r="AU79" s="183">
        <f t="shared" si="10"/>
        <v>0</v>
      </c>
      <c r="AV79" s="183">
        <f t="shared" si="13"/>
        <v>0</v>
      </c>
      <c r="AW79" s="117">
        <f t="shared" si="7"/>
        <v>0</v>
      </c>
      <c r="AX79" s="184">
        <f t="shared" si="8"/>
        <v>0</v>
      </c>
      <c r="AY79" s="117">
        <f t="shared" si="11"/>
        <v>0</v>
      </c>
      <c r="AZ79" s="117"/>
    </row>
    <row r="80" spans="44:52" s="14" customFormat="1" ht="14">
      <c r="AR80" s="117" t="str">
        <f t="shared" si="9"/>
        <v/>
      </c>
      <c r="AS80" s="183">
        <f t="shared" si="12"/>
        <v>0</v>
      </c>
      <c r="AT80" s="183"/>
      <c r="AU80" s="183">
        <f t="shared" si="10"/>
        <v>0</v>
      </c>
      <c r="AV80" s="183">
        <f t="shared" si="13"/>
        <v>0</v>
      </c>
      <c r="AW80" s="117">
        <f t="shared" si="7"/>
        <v>0</v>
      </c>
      <c r="AX80" s="184">
        <f t="shared" si="8"/>
        <v>0</v>
      </c>
      <c r="AY80" s="117">
        <f t="shared" si="11"/>
        <v>0</v>
      </c>
      <c r="AZ80" s="117"/>
    </row>
    <row r="81" spans="44:52" s="14" customFormat="1" ht="14">
      <c r="AR81" s="117" t="str">
        <f t="shared" si="9"/>
        <v/>
      </c>
      <c r="AS81" s="183">
        <f t="shared" si="12"/>
        <v>0</v>
      </c>
      <c r="AT81" s="183"/>
      <c r="AU81" s="183">
        <f t="shared" si="10"/>
        <v>0</v>
      </c>
      <c r="AV81" s="183">
        <f t="shared" si="13"/>
        <v>0</v>
      </c>
      <c r="AW81" s="117">
        <f t="shared" ref="AW81:AW113" si="14">IF(ISNUMBER(AR82),SUM(AT81:AU81),SUM(AT81:AV81))</f>
        <v>0</v>
      </c>
      <c r="AX81" s="184">
        <f t="shared" si="8"/>
        <v>0</v>
      </c>
      <c r="AY81" s="117">
        <f t="shared" si="11"/>
        <v>0</v>
      </c>
      <c r="AZ81" s="117"/>
    </row>
    <row r="82" spans="44:52" s="14" customFormat="1" ht="14">
      <c r="AR82" s="117" t="str">
        <f t="shared" si="9"/>
        <v/>
      </c>
      <c r="AS82" s="183">
        <f t="shared" si="12"/>
        <v>0</v>
      </c>
      <c r="AT82" s="183"/>
      <c r="AU82" s="183">
        <f t="shared" si="10"/>
        <v>0</v>
      </c>
      <c r="AV82" s="183">
        <f t="shared" si="13"/>
        <v>0</v>
      </c>
      <c r="AW82" s="117">
        <f t="shared" si="14"/>
        <v>0</v>
      </c>
      <c r="AX82" s="184">
        <f t="shared" si="8"/>
        <v>0</v>
      </c>
      <c r="AY82" s="117">
        <f t="shared" si="11"/>
        <v>0</v>
      </c>
      <c r="AZ82" s="117"/>
    </row>
    <row r="83" spans="44:52" s="14" customFormat="1" ht="14">
      <c r="AR83" s="117" t="str">
        <f t="shared" si="9"/>
        <v/>
      </c>
      <c r="AS83" s="183">
        <f t="shared" si="12"/>
        <v>0</v>
      </c>
      <c r="AT83" s="183"/>
      <c r="AU83" s="183">
        <f t="shared" si="10"/>
        <v>0</v>
      </c>
      <c r="AV83" s="183">
        <f t="shared" si="13"/>
        <v>0</v>
      </c>
      <c r="AW83" s="117">
        <f t="shared" si="14"/>
        <v>0</v>
      </c>
      <c r="AX83" s="184">
        <f t="shared" si="8"/>
        <v>0</v>
      </c>
      <c r="AY83" s="117">
        <f t="shared" si="11"/>
        <v>0</v>
      </c>
      <c r="AZ83" s="117"/>
    </row>
    <row r="84" spans="44:52" s="14" customFormat="1" ht="14">
      <c r="AR84" s="117" t="str">
        <f t="shared" si="9"/>
        <v/>
      </c>
      <c r="AS84" s="183">
        <f t="shared" si="12"/>
        <v>0</v>
      </c>
      <c r="AT84" s="183"/>
      <c r="AU84" s="183">
        <f t="shared" si="10"/>
        <v>0</v>
      </c>
      <c r="AV84" s="183">
        <f t="shared" si="13"/>
        <v>0</v>
      </c>
      <c r="AW84" s="117">
        <f t="shared" si="14"/>
        <v>0</v>
      </c>
      <c r="AX84" s="184">
        <f t="shared" si="8"/>
        <v>0</v>
      </c>
      <c r="AY84" s="117">
        <f t="shared" si="11"/>
        <v>0</v>
      </c>
      <c r="AZ84" s="117"/>
    </row>
    <row r="85" spans="44:52" s="14" customFormat="1" ht="14">
      <c r="AR85" s="117" t="str">
        <f t="shared" si="9"/>
        <v/>
      </c>
      <c r="AS85" s="183">
        <f t="shared" si="12"/>
        <v>0</v>
      </c>
      <c r="AT85" s="183"/>
      <c r="AU85" s="183">
        <f t="shared" si="10"/>
        <v>0</v>
      </c>
      <c r="AV85" s="183">
        <f t="shared" si="13"/>
        <v>0</v>
      </c>
      <c r="AW85" s="117">
        <f t="shared" si="14"/>
        <v>0</v>
      </c>
      <c r="AX85" s="184">
        <f t="shared" si="8"/>
        <v>0</v>
      </c>
      <c r="AY85" s="117">
        <f t="shared" si="11"/>
        <v>0</v>
      </c>
      <c r="AZ85" s="117"/>
    </row>
    <row r="86" spans="44:52" s="14" customFormat="1" ht="14">
      <c r="AR86" s="117" t="str">
        <f t="shared" si="9"/>
        <v/>
      </c>
      <c r="AS86" s="183">
        <f t="shared" si="12"/>
        <v>0</v>
      </c>
      <c r="AT86" s="183"/>
      <c r="AU86" s="183">
        <f t="shared" si="10"/>
        <v>0</v>
      </c>
      <c r="AV86" s="183">
        <f t="shared" si="13"/>
        <v>0</v>
      </c>
      <c r="AW86" s="117">
        <f t="shared" si="14"/>
        <v>0</v>
      </c>
      <c r="AX86" s="184">
        <f t="shared" si="8"/>
        <v>0</v>
      </c>
      <c r="AY86" s="117">
        <f t="shared" si="11"/>
        <v>0</v>
      </c>
      <c r="AZ86" s="117"/>
    </row>
    <row r="87" spans="44:52" s="14" customFormat="1" ht="14">
      <c r="AR87" s="117" t="str">
        <f t="shared" si="9"/>
        <v/>
      </c>
      <c r="AS87" s="183">
        <f t="shared" si="12"/>
        <v>0</v>
      </c>
      <c r="AT87" s="183"/>
      <c r="AU87" s="183">
        <f t="shared" si="10"/>
        <v>0</v>
      </c>
      <c r="AV87" s="183">
        <f t="shared" si="13"/>
        <v>0</v>
      </c>
      <c r="AW87" s="117">
        <f t="shared" si="14"/>
        <v>0</v>
      </c>
      <c r="AX87" s="184">
        <f t="shared" si="8"/>
        <v>0</v>
      </c>
      <c r="AY87" s="117">
        <f t="shared" si="11"/>
        <v>0</v>
      </c>
      <c r="AZ87" s="117"/>
    </row>
    <row r="88" spans="44:52" s="14" customFormat="1" ht="14">
      <c r="AR88" s="117" t="str">
        <f t="shared" si="9"/>
        <v/>
      </c>
      <c r="AS88" s="183">
        <f t="shared" si="12"/>
        <v>0</v>
      </c>
      <c r="AT88" s="183"/>
      <c r="AU88" s="183">
        <f t="shared" si="10"/>
        <v>0</v>
      </c>
      <c r="AV88" s="183">
        <f t="shared" si="13"/>
        <v>0</v>
      </c>
      <c r="AW88" s="117">
        <f t="shared" si="14"/>
        <v>0</v>
      </c>
      <c r="AX88" s="184">
        <f t="shared" si="8"/>
        <v>0</v>
      </c>
      <c r="AY88" s="117">
        <f t="shared" si="11"/>
        <v>0</v>
      </c>
      <c r="AZ88" s="117"/>
    </row>
    <row r="89" spans="44:52" s="14" customFormat="1" ht="14">
      <c r="AR89" s="117" t="str">
        <f t="shared" si="9"/>
        <v/>
      </c>
      <c r="AS89" s="183">
        <f t="shared" si="12"/>
        <v>0</v>
      </c>
      <c r="AT89" s="183"/>
      <c r="AU89" s="183">
        <f t="shared" si="10"/>
        <v>0</v>
      </c>
      <c r="AV89" s="183">
        <f t="shared" si="13"/>
        <v>0</v>
      </c>
      <c r="AW89" s="117">
        <f t="shared" si="14"/>
        <v>0</v>
      </c>
      <c r="AX89" s="184">
        <f t="shared" si="8"/>
        <v>0</v>
      </c>
      <c r="AY89" s="117">
        <f t="shared" si="11"/>
        <v>0</v>
      </c>
      <c r="AZ89" s="117"/>
    </row>
    <row r="90" spans="44:52" s="14" customFormat="1" ht="14">
      <c r="AR90" s="117" t="str">
        <f t="shared" si="9"/>
        <v/>
      </c>
      <c r="AS90" s="183">
        <f t="shared" si="12"/>
        <v>0</v>
      </c>
      <c r="AT90" s="183"/>
      <c r="AU90" s="183">
        <f t="shared" si="10"/>
        <v>0</v>
      </c>
      <c r="AV90" s="183">
        <f t="shared" si="13"/>
        <v>0</v>
      </c>
      <c r="AW90" s="117">
        <f t="shared" si="14"/>
        <v>0</v>
      </c>
      <c r="AX90" s="184">
        <f t="shared" si="8"/>
        <v>0</v>
      </c>
      <c r="AY90" s="117">
        <f t="shared" si="11"/>
        <v>0</v>
      </c>
      <c r="AZ90" s="117"/>
    </row>
    <row r="91" spans="44:52" s="14" customFormat="1" ht="14">
      <c r="AR91" s="117" t="str">
        <f t="shared" si="9"/>
        <v/>
      </c>
      <c r="AS91" s="183">
        <f t="shared" si="12"/>
        <v>0</v>
      </c>
      <c r="AT91" s="183"/>
      <c r="AU91" s="183">
        <f t="shared" si="10"/>
        <v>0</v>
      </c>
      <c r="AV91" s="183">
        <f t="shared" si="13"/>
        <v>0</v>
      </c>
      <c r="AW91" s="117">
        <f t="shared" si="14"/>
        <v>0</v>
      </c>
      <c r="AX91" s="184">
        <f t="shared" si="8"/>
        <v>0</v>
      </c>
      <c r="AY91" s="117">
        <f t="shared" si="11"/>
        <v>0</v>
      </c>
      <c r="AZ91" s="117"/>
    </row>
    <row r="92" spans="44:52" s="14" customFormat="1" ht="14">
      <c r="AR92" s="117" t="str">
        <f t="shared" si="9"/>
        <v/>
      </c>
      <c r="AS92" s="183">
        <f t="shared" si="12"/>
        <v>0</v>
      </c>
      <c r="AT92" s="183"/>
      <c r="AU92" s="183">
        <f t="shared" si="10"/>
        <v>0</v>
      </c>
      <c r="AV92" s="183">
        <f t="shared" si="13"/>
        <v>0</v>
      </c>
      <c r="AW92" s="117">
        <f t="shared" si="14"/>
        <v>0</v>
      </c>
      <c r="AX92" s="184">
        <f t="shared" si="8"/>
        <v>0</v>
      </c>
      <c r="AY92" s="117">
        <f t="shared" si="11"/>
        <v>0</v>
      </c>
      <c r="AZ92" s="117"/>
    </row>
    <row r="93" spans="44:52" s="14" customFormat="1" ht="14">
      <c r="AR93" s="117" t="str">
        <f t="shared" si="9"/>
        <v/>
      </c>
      <c r="AS93" s="183">
        <f t="shared" si="12"/>
        <v>0</v>
      </c>
      <c r="AT93" s="183"/>
      <c r="AU93" s="183">
        <f t="shared" si="10"/>
        <v>0</v>
      </c>
      <c r="AV93" s="183">
        <f t="shared" si="13"/>
        <v>0</v>
      </c>
      <c r="AW93" s="117">
        <f t="shared" si="14"/>
        <v>0</v>
      </c>
      <c r="AX93" s="184">
        <f t="shared" si="8"/>
        <v>0</v>
      </c>
      <c r="AY93" s="117">
        <f t="shared" si="11"/>
        <v>0</v>
      </c>
      <c r="AZ93" s="117"/>
    </row>
    <row r="94" spans="44:52" s="14" customFormat="1" ht="14">
      <c r="AR94" s="117" t="str">
        <f t="shared" si="9"/>
        <v/>
      </c>
      <c r="AS94" s="183">
        <f t="shared" si="12"/>
        <v>0</v>
      </c>
      <c r="AT94" s="183"/>
      <c r="AU94" s="183">
        <f t="shared" si="10"/>
        <v>0</v>
      </c>
      <c r="AV94" s="183">
        <f t="shared" si="13"/>
        <v>0</v>
      </c>
      <c r="AW94" s="117">
        <f t="shared" si="14"/>
        <v>0</v>
      </c>
      <c r="AX94" s="184">
        <f t="shared" si="8"/>
        <v>0</v>
      </c>
      <c r="AY94" s="117">
        <f t="shared" si="11"/>
        <v>0</v>
      </c>
      <c r="AZ94" s="117"/>
    </row>
    <row r="95" spans="44:52" s="14" customFormat="1" ht="14">
      <c r="AR95" s="117" t="str">
        <f t="shared" si="9"/>
        <v/>
      </c>
      <c r="AS95" s="183">
        <f t="shared" si="12"/>
        <v>0</v>
      </c>
      <c r="AT95" s="183"/>
      <c r="AU95" s="183">
        <f t="shared" si="10"/>
        <v>0</v>
      </c>
      <c r="AV95" s="183">
        <f t="shared" si="13"/>
        <v>0</v>
      </c>
      <c r="AW95" s="117">
        <f t="shared" si="14"/>
        <v>0</v>
      </c>
      <c r="AX95" s="184">
        <f t="shared" si="8"/>
        <v>0</v>
      </c>
      <c r="AY95" s="117">
        <f t="shared" si="11"/>
        <v>0</v>
      </c>
      <c r="AZ95" s="117"/>
    </row>
    <row r="96" spans="44:52" s="14" customFormat="1" ht="14">
      <c r="AR96" s="117" t="str">
        <f t="shared" si="9"/>
        <v/>
      </c>
      <c r="AS96" s="183">
        <f t="shared" si="12"/>
        <v>0</v>
      </c>
      <c r="AT96" s="183"/>
      <c r="AU96" s="183">
        <f t="shared" si="10"/>
        <v>0</v>
      </c>
      <c r="AV96" s="183">
        <f t="shared" si="13"/>
        <v>0</v>
      </c>
      <c r="AW96" s="117">
        <f t="shared" si="14"/>
        <v>0</v>
      </c>
      <c r="AX96" s="184">
        <f t="shared" si="8"/>
        <v>0</v>
      </c>
      <c r="AY96" s="117">
        <f t="shared" si="11"/>
        <v>0</v>
      </c>
      <c r="AZ96" s="117"/>
    </row>
    <row r="97" spans="44:52" s="14" customFormat="1" ht="14">
      <c r="AR97" s="117" t="str">
        <f t="shared" si="9"/>
        <v/>
      </c>
      <c r="AS97" s="183">
        <f t="shared" si="12"/>
        <v>0</v>
      </c>
      <c r="AT97" s="183"/>
      <c r="AU97" s="183">
        <f t="shared" si="10"/>
        <v>0</v>
      </c>
      <c r="AV97" s="183">
        <f t="shared" si="13"/>
        <v>0</v>
      </c>
      <c r="AW97" s="117">
        <f t="shared" si="14"/>
        <v>0</v>
      </c>
      <c r="AX97" s="184">
        <f t="shared" si="8"/>
        <v>0</v>
      </c>
      <c r="AY97" s="117">
        <f t="shared" si="11"/>
        <v>0</v>
      </c>
      <c r="AZ97" s="117"/>
    </row>
    <row r="98" spans="44:52" s="14" customFormat="1" ht="14">
      <c r="AR98" s="117" t="str">
        <f t="shared" si="9"/>
        <v/>
      </c>
      <c r="AS98" s="183">
        <f t="shared" si="12"/>
        <v>0</v>
      </c>
      <c r="AT98" s="183"/>
      <c r="AU98" s="183">
        <f t="shared" si="10"/>
        <v>0</v>
      </c>
      <c r="AV98" s="183">
        <f t="shared" si="13"/>
        <v>0</v>
      </c>
      <c r="AW98" s="117">
        <f t="shared" si="14"/>
        <v>0</v>
      </c>
      <c r="AX98" s="184">
        <f t="shared" si="8"/>
        <v>0</v>
      </c>
      <c r="AY98" s="117">
        <f t="shared" si="11"/>
        <v>0</v>
      </c>
      <c r="AZ98" s="117"/>
    </row>
    <row r="99" spans="44:52" s="14" customFormat="1" ht="14">
      <c r="AR99" s="117" t="str">
        <f t="shared" si="9"/>
        <v/>
      </c>
      <c r="AS99" s="183">
        <f t="shared" si="12"/>
        <v>0</v>
      </c>
      <c r="AT99" s="183"/>
      <c r="AU99" s="183">
        <f t="shared" si="10"/>
        <v>0</v>
      </c>
      <c r="AV99" s="183">
        <f t="shared" si="13"/>
        <v>0</v>
      </c>
      <c r="AW99" s="117">
        <f t="shared" si="14"/>
        <v>0</v>
      </c>
      <c r="AX99" s="184">
        <f t="shared" si="8"/>
        <v>0</v>
      </c>
      <c r="AY99" s="117">
        <f t="shared" si="11"/>
        <v>0</v>
      </c>
      <c r="AZ99" s="117"/>
    </row>
    <row r="100" spans="44:52" s="14" customFormat="1" ht="14">
      <c r="AR100" s="117" t="str">
        <f t="shared" si="9"/>
        <v/>
      </c>
      <c r="AS100" s="183">
        <f t="shared" si="12"/>
        <v>0</v>
      </c>
      <c r="AT100" s="183"/>
      <c r="AU100" s="183">
        <f t="shared" si="10"/>
        <v>0</v>
      </c>
      <c r="AV100" s="183">
        <f t="shared" si="13"/>
        <v>0</v>
      </c>
      <c r="AW100" s="117">
        <f t="shared" si="14"/>
        <v>0</v>
      </c>
      <c r="AX100" s="184">
        <f t="shared" si="8"/>
        <v>0</v>
      </c>
      <c r="AY100" s="117">
        <f t="shared" si="11"/>
        <v>0</v>
      </c>
      <c r="AZ100" s="117"/>
    </row>
    <row r="101" spans="44:52" s="14" customFormat="1" ht="14">
      <c r="AR101" s="117" t="str">
        <f t="shared" si="9"/>
        <v/>
      </c>
      <c r="AS101" s="183">
        <f t="shared" si="12"/>
        <v>0</v>
      </c>
      <c r="AT101" s="183"/>
      <c r="AU101" s="183">
        <f t="shared" si="10"/>
        <v>0</v>
      </c>
      <c r="AV101" s="183">
        <f t="shared" si="13"/>
        <v>0</v>
      </c>
      <c r="AW101" s="117">
        <f t="shared" si="14"/>
        <v>0</v>
      </c>
      <c r="AX101" s="184">
        <f t="shared" si="8"/>
        <v>0</v>
      </c>
      <c r="AY101" s="117">
        <f t="shared" si="11"/>
        <v>0</v>
      </c>
      <c r="AZ101" s="117"/>
    </row>
    <row r="102" spans="44:52" s="14" customFormat="1" ht="14">
      <c r="AR102" s="117" t="str">
        <f t="shared" si="9"/>
        <v/>
      </c>
      <c r="AS102" s="183">
        <f t="shared" si="12"/>
        <v>0</v>
      </c>
      <c r="AT102" s="183"/>
      <c r="AU102" s="183">
        <f t="shared" si="10"/>
        <v>0</v>
      </c>
      <c r="AV102" s="183">
        <f t="shared" si="13"/>
        <v>0</v>
      </c>
      <c r="AW102" s="117">
        <f t="shared" si="14"/>
        <v>0</v>
      </c>
      <c r="AX102" s="184">
        <f t="shared" ref="AX102:AX113" si="15">LN(AW102+$J$36)-LN($J$36)</f>
        <v>0</v>
      </c>
      <c r="AY102" s="117">
        <f t="shared" si="11"/>
        <v>0</v>
      </c>
      <c r="AZ102" s="117"/>
    </row>
    <row r="103" spans="44:52" s="14" customFormat="1" ht="14">
      <c r="AR103" s="117" t="str">
        <f t="shared" si="9"/>
        <v/>
      </c>
      <c r="AS103" s="183">
        <f t="shared" si="12"/>
        <v>0</v>
      </c>
      <c r="AT103" s="183"/>
      <c r="AU103" s="183">
        <f t="shared" si="10"/>
        <v>0</v>
      </c>
      <c r="AV103" s="183">
        <f t="shared" si="13"/>
        <v>0</v>
      </c>
      <c r="AW103" s="117">
        <f t="shared" si="14"/>
        <v>0</v>
      </c>
      <c r="AX103" s="184">
        <f t="shared" si="15"/>
        <v>0</v>
      </c>
      <c r="AY103" s="117">
        <f t="shared" si="11"/>
        <v>0</v>
      </c>
      <c r="AZ103" s="117"/>
    </row>
    <row r="104" spans="44:52" s="14" customFormat="1" ht="14">
      <c r="AR104" s="117" t="str">
        <f t="shared" si="9"/>
        <v/>
      </c>
      <c r="AS104" s="183">
        <f t="shared" si="12"/>
        <v>0</v>
      </c>
      <c r="AT104" s="183"/>
      <c r="AU104" s="183">
        <f t="shared" si="10"/>
        <v>0</v>
      </c>
      <c r="AV104" s="183">
        <f t="shared" si="13"/>
        <v>0</v>
      </c>
      <c r="AW104" s="117">
        <f t="shared" si="14"/>
        <v>0</v>
      </c>
      <c r="AX104" s="184">
        <f t="shared" si="15"/>
        <v>0</v>
      </c>
      <c r="AY104" s="117">
        <f t="shared" si="11"/>
        <v>0</v>
      </c>
      <c r="AZ104" s="117"/>
    </row>
    <row r="105" spans="44:52" s="14" customFormat="1" ht="14">
      <c r="AR105" s="117" t="str">
        <f t="shared" si="9"/>
        <v/>
      </c>
      <c r="AS105" s="183">
        <f t="shared" si="12"/>
        <v>0</v>
      </c>
      <c r="AT105" s="183"/>
      <c r="AU105" s="183">
        <f t="shared" si="10"/>
        <v>0</v>
      </c>
      <c r="AV105" s="183">
        <f t="shared" si="13"/>
        <v>0</v>
      </c>
      <c r="AW105" s="117">
        <f t="shared" si="14"/>
        <v>0</v>
      </c>
      <c r="AX105" s="184">
        <f t="shared" si="15"/>
        <v>0</v>
      </c>
      <c r="AY105" s="117">
        <f t="shared" si="11"/>
        <v>0</v>
      </c>
      <c r="AZ105" s="117"/>
    </row>
    <row r="106" spans="44:52" s="14" customFormat="1" ht="14">
      <c r="AR106" s="117" t="str">
        <f t="shared" si="9"/>
        <v/>
      </c>
      <c r="AS106" s="183">
        <f t="shared" si="12"/>
        <v>0</v>
      </c>
      <c r="AT106" s="183"/>
      <c r="AU106" s="183">
        <f t="shared" si="10"/>
        <v>0</v>
      </c>
      <c r="AV106" s="183">
        <f t="shared" si="13"/>
        <v>0</v>
      </c>
      <c r="AW106" s="117">
        <f t="shared" si="14"/>
        <v>0</v>
      </c>
      <c r="AX106" s="184">
        <f t="shared" si="15"/>
        <v>0</v>
      </c>
      <c r="AY106" s="117">
        <f t="shared" si="11"/>
        <v>0</v>
      </c>
      <c r="AZ106" s="117"/>
    </row>
    <row r="107" spans="44:52" s="14" customFormat="1" ht="14">
      <c r="AR107" s="117" t="str">
        <f t="shared" si="9"/>
        <v/>
      </c>
      <c r="AS107" s="183">
        <f t="shared" si="12"/>
        <v>0</v>
      </c>
      <c r="AT107" s="183"/>
      <c r="AU107" s="183">
        <f t="shared" si="10"/>
        <v>0</v>
      </c>
      <c r="AV107" s="183">
        <f t="shared" si="13"/>
        <v>0</v>
      </c>
      <c r="AW107" s="117">
        <f t="shared" si="14"/>
        <v>0</v>
      </c>
      <c r="AX107" s="184">
        <f t="shared" si="15"/>
        <v>0</v>
      </c>
      <c r="AY107" s="117">
        <f t="shared" si="11"/>
        <v>0</v>
      </c>
      <c r="AZ107" s="117"/>
    </row>
    <row r="108" spans="44:52" s="14" customFormat="1" ht="14">
      <c r="AR108" s="117" t="str">
        <f t="shared" si="9"/>
        <v/>
      </c>
      <c r="AS108" s="183">
        <f t="shared" si="12"/>
        <v>0</v>
      </c>
      <c r="AT108" s="183"/>
      <c r="AU108" s="183">
        <f t="shared" si="10"/>
        <v>0</v>
      </c>
      <c r="AV108" s="183">
        <f t="shared" si="13"/>
        <v>0</v>
      </c>
      <c r="AW108" s="117">
        <f t="shared" si="14"/>
        <v>0</v>
      </c>
      <c r="AX108" s="184">
        <f t="shared" si="15"/>
        <v>0</v>
      </c>
      <c r="AY108" s="117">
        <f t="shared" si="11"/>
        <v>0</v>
      </c>
      <c r="AZ108" s="117"/>
    </row>
    <row r="109" spans="44:52" s="14" customFormat="1" ht="14">
      <c r="AR109" s="117" t="str">
        <f t="shared" si="9"/>
        <v/>
      </c>
      <c r="AS109" s="183">
        <f t="shared" si="12"/>
        <v>0</v>
      </c>
      <c r="AT109" s="183"/>
      <c r="AU109" s="183">
        <f t="shared" si="10"/>
        <v>0</v>
      </c>
      <c r="AV109" s="183">
        <f t="shared" si="13"/>
        <v>0</v>
      </c>
      <c r="AW109" s="117">
        <f t="shared" si="14"/>
        <v>0</v>
      </c>
      <c r="AX109" s="184">
        <f t="shared" si="15"/>
        <v>0</v>
      </c>
      <c r="AY109" s="117">
        <f t="shared" si="11"/>
        <v>0</v>
      </c>
      <c r="AZ109" s="117"/>
    </row>
    <row r="110" spans="44:52" s="14" customFormat="1" ht="14">
      <c r="AR110" s="117" t="str">
        <f t="shared" si="9"/>
        <v/>
      </c>
      <c r="AS110" s="183">
        <f t="shared" si="12"/>
        <v>0</v>
      </c>
      <c r="AT110" s="183"/>
      <c r="AU110" s="183">
        <f t="shared" si="10"/>
        <v>0</v>
      </c>
      <c r="AV110" s="183">
        <f t="shared" si="13"/>
        <v>0</v>
      </c>
      <c r="AW110" s="117">
        <f t="shared" si="14"/>
        <v>0</v>
      </c>
      <c r="AX110" s="184">
        <f t="shared" si="15"/>
        <v>0</v>
      </c>
      <c r="AY110" s="117">
        <f t="shared" si="11"/>
        <v>0</v>
      </c>
      <c r="AZ110" s="117"/>
    </row>
    <row r="111" spans="44:52" s="14" customFormat="1" ht="14">
      <c r="AR111" s="117" t="str">
        <f t="shared" si="9"/>
        <v/>
      </c>
      <c r="AS111" s="183">
        <f t="shared" si="12"/>
        <v>0</v>
      </c>
      <c r="AT111" s="183"/>
      <c r="AU111" s="183">
        <f t="shared" si="10"/>
        <v>0</v>
      </c>
      <c r="AV111" s="183">
        <f t="shared" si="13"/>
        <v>0</v>
      </c>
      <c r="AW111" s="117">
        <f t="shared" si="14"/>
        <v>0</v>
      </c>
      <c r="AX111" s="184">
        <f t="shared" si="15"/>
        <v>0</v>
      </c>
      <c r="AY111" s="117">
        <f t="shared" si="11"/>
        <v>0</v>
      </c>
      <c r="AZ111" s="117"/>
    </row>
    <row r="112" spans="44:52" s="14" customFormat="1" ht="14">
      <c r="AR112" s="117" t="str">
        <f t="shared" si="9"/>
        <v/>
      </c>
      <c r="AS112" s="183">
        <f t="shared" si="12"/>
        <v>0</v>
      </c>
      <c r="AT112" s="183"/>
      <c r="AU112" s="183">
        <f t="shared" si="10"/>
        <v>0</v>
      </c>
      <c r="AV112" s="183">
        <f t="shared" si="13"/>
        <v>0</v>
      </c>
      <c r="AW112" s="117">
        <f t="shared" si="14"/>
        <v>0</v>
      </c>
      <c r="AX112" s="184">
        <f t="shared" si="15"/>
        <v>0</v>
      </c>
      <c r="AY112" s="117">
        <f t="shared" si="11"/>
        <v>0</v>
      </c>
      <c r="AZ112" s="117"/>
    </row>
    <row r="113" spans="44:52" s="14" customFormat="1" ht="14">
      <c r="AR113" s="117" t="str">
        <f t="shared" si="9"/>
        <v/>
      </c>
      <c r="AS113" s="183">
        <f t="shared" si="12"/>
        <v>0</v>
      </c>
      <c r="AT113" s="183"/>
      <c r="AU113" s="183">
        <f t="shared" si="10"/>
        <v>0</v>
      </c>
      <c r="AV113" s="183">
        <f t="shared" si="13"/>
        <v>0</v>
      </c>
      <c r="AW113" s="117">
        <f t="shared" si="14"/>
        <v>0</v>
      </c>
      <c r="AX113" s="184">
        <f t="shared" si="15"/>
        <v>0</v>
      </c>
      <c r="AY113" s="117">
        <f t="shared" si="11"/>
        <v>0</v>
      </c>
      <c r="AZ113" s="117"/>
    </row>
    <row r="114" spans="44:52" s="14" customFormat="1" ht="14">
      <c r="AZ114" s="117"/>
    </row>
    <row r="115" spans="44:52" s="14" customFormat="1" ht="14">
      <c r="AZ115" s="117"/>
    </row>
    <row r="116" spans="44:52" s="14" customFormat="1" ht="14">
      <c r="AZ116" s="117"/>
    </row>
    <row r="117" spans="44:52" s="14" customFormat="1" ht="14">
      <c r="AZ117" s="117"/>
    </row>
    <row r="118" spans="44:52" ht="14">
      <c r="AZ118"/>
    </row>
  </sheetData>
  <mergeCells count="59">
    <mergeCell ref="G37:Q37"/>
    <mergeCell ref="R37:T37"/>
    <mergeCell ref="B35:B37"/>
    <mergeCell ref="D35:F35"/>
    <mergeCell ref="H35:I35"/>
    <mergeCell ref="J35:N35"/>
    <mergeCell ref="O35:P35"/>
    <mergeCell ref="D36:F36"/>
    <mergeCell ref="H36:I36"/>
    <mergeCell ref="J36:N36"/>
    <mergeCell ref="O36:P36"/>
    <mergeCell ref="D37:F37"/>
    <mergeCell ref="B23:E26"/>
    <mergeCell ref="Q25:Q28"/>
    <mergeCell ref="R29:V29"/>
    <mergeCell ref="R30:V30"/>
    <mergeCell ref="F31:F33"/>
    <mergeCell ref="R31:V31"/>
    <mergeCell ref="F21:F24"/>
    <mergeCell ref="R21:S22"/>
    <mergeCell ref="U21:W22"/>
    <mergeCell ref="Q18:Q19"/>
    <mergeCell ref="T18:U18"/>
    <mergeCell ref="V18:W18"/>
    <mergeCell ref="T19:U19"/>
    <mergeCell ref="V19:W19"/>
    <mergeCell ref="C16:C17"/>
    <mergeCell ref="D16:D17"/>
    <mergeCell ref="F16:F17"/>
    <mergeCell ref="G16:G17"/>
    <mergeCell ref="S16:T16"/>
    <mergeCell ref="T10:U10"/>
    <mergeCell ref="T11:U11"/>
    <mergeCell ref="Q13:Q16"/>
    <mergeCell ref="T13:U13"/>
    <mergeCell ref="B14:B18"/>
    <mergeCell ref="C14:C15"/>
    <mergeCell ref="D14:D15"/>
    <mergeCell ref="F14:F15"/>
    <mergeCell ref="G14:G15"/>
    <mergeCell ref="T14:U14"/>
    <mergeCell ref="B7:B11"/>
    <mergeCell ref="Q8:Q11"/>
    <mergeCell ref="T8:U8"/>
    <mergeCell ref="C9:D9"/>
    <mergeCell ref="T9:U9"/>
    <mergeCell ref="T15:U15"/>
    <mergeCell ref="C6:D6"/>
    <mergeCell ref="I6:J6"/>
    <mergeCell ref="L6:M6"/>
    <mergeCell ref="T6:U6"/>
    <mergeCell ref="V6:W6"/>
    <mergeCell ref="S2:T3"/>
    <mergeCell ref="B4:D5"/>
    <mergeCell ref="F4:G5"/>
    <mergeCell ref="T4:U4"/>
    <mergeCell ref="V4:W4"/>
    <mergeCell ref="T5:U5"/>
    <mergeCell ref="V5:W5"/>
  </mergeCells>
  <hyperlinks>
    <hyperlink ref="G37" r:id="rId1" location="Grantstructure"/>
  </hyperlinks>
  <pageMargins left="0.7" right="0.7" top="0.75" bottom="0.75" header="0.3" footer="0.3"/>
  <pageSetup orientation="portrait"/>
  <drawing r:id="rId2"/>
  <legacyDrawing r:id="rId3"/>
  <extLst>
    <ext xmlns:x14="http://schemas.microsoft.com/office/spreadsheetml/2009/9/main" uri="{CCE6A557-97BC-4b89-ADB6-D9C93CAAB3DF}">
      <x14:dataValidations xmlns:xm="http://schemas.microsoft.com/office/excel/2006/main" count="34">
        <x14:dataValidation type="list" allowBlank="1" showInputMessage="1">
          <x14:formula1>
            <xm:f>Parameters!$C$7:$G$7</xm:f>
          </x14:formula1>
          <xm:sqref>D16:D17</xm:sqref>
        </x14:dataValidation>
        <x14:dataValidation type="list" allowBlank="1" showInputMessage="1">
          <x14:formula1>
            <xm:f>Parameters!$C$25:$G$25</xm:f>
          </x14:formula1>
          <xm:sqref>J14 K15</xm:sqref>
        </x14:dataValidation>
        <x14:dataValidation type="list" allowBlank="1" showInputMessage="1">
          <x14:formula1>
            <xm:f>Parameters!$C$18:$G$18</xm:f>
          </x14:formula1>
          <xm:sqref>J15 K14</xm:sqref>
        </x14:dataValidation>
        <x14:dataValidation type="list" allowBlank="1" showInputMessage="1">
          <x14:formula1>
            <xm:f>Parameters!$C$27:$G$27</xm:f>
          </x14:formula1>
          <xm:sqref>J11 K9</xm:sqref>
        </x14:dataValidation>
        <x14:dataValidation type="list" allowBlank="1" showInputMessage="1">
          <x14:formula1>
            <xm:f>Parameters!$C$28:$G$28</xm:f>
          </x14:formula1>
          <xm:sqref>J9</xm:sqref>
        </x14:dataValidation>
        <x14:dataValidation type="list" allowBlank="1" showInputMessage="1">
          <x14:formula1>
            <xm:f>Parameters!$C$55:$G$55</xm:f>
          </x14:formula1>
          <xm:sqref>M15</xm:sqref>
        </x14:dataValidation>
        <x14:dataValidation type="list" allowBlank="1" showInputMessage="1">
          <x14:formula1>
            <xm:f>Parameters!$C$54:$G$54</xm:f>
          </x14:formula1>
          <xm:sqref>M14</xm:sqref>
        </x14:dataValidation>
        <x14:dataValidation type="list" allowBlank="1" showInputMessage="1">
          <x14:formula1>
            <xm:f>Parameters!$C$53:$G$53</xm:f>
          </x14:formula1>
          <xm:sqref>M13</xm:sqref>
        </x14:dataValidation>
        <x14:dataValidation type="list" allowBlank="1" showInputMessage="1">
          <x14:formula1>
            <xm:f>Parameters!$C$52:$G$52</xm:f>
          </x14:formula1>
          <xm:sqref>M12</xm:sqref>
        </x14:dataValidation>
        <x14:dataValidation type="list" allowBlank="1" showInputMessage="1">
          <x14:formula1>
            <xm:f>Parameters!$C$51:$G$51</xm:f>
          </x14:formula1>
          <xm:sqref>M11</xm:sqref>
        </x14:dataValidation>
        <x14:dataValidation type="list" allowBlank="1" showInputMessage="1">
          <x14:formula1>
            <xm:f>Parameters!$C$50:$G$50</xm:f>
          </x14:formula1>
          <xm:sqref>M10</xm:sqref>
        </x14:dataValidation>
        <x14:dataValidation type="list" allowBlank="1" showInputMessage="1">
          <x14:formula1>
            <xm:f>Parameters!$C$49:$G$49</xm:f>
          </x14:formula1>
          <xm:sqref>M9</xm:sqref>
        </x14:dataValidation>
        <x14:dataValidation type="list" allowBlank="1" showInputMessage="1">
          <x14:formula1>
            <xm:f>Parameters!$C$48:$G$48</xm:f>
          </x14:formula1>
          <xm:sqref>M8</xm:sqref>
        </x14:dataValidation>
        <x14:dataValidation type="list" allowBlank="1" showInputMessage="1">
          <x14:formula1>
            <xm:f>Parameters!$C$47:$G$47</xm:f>
          </x14:formula1>
          <xm:sqref>M7</xm:sqref>
        </x14:dataValidation>
        <x14:dataValidation type="list" allowBlank="1" showInputMessage="1">
          <x14:formula1>
            <xm:f>Parameters!$C$19:$G$19</xm:f>
          </x14:formula1>
          <xm:sqref>J8</xm:sqref>
        </x14:dataValidation>
        <x14:dataValidation type="list" allowBlank="1" showInputMessage="1">
          <x14:formula1>
            <xm:f>Parameters!$D$19:$H$19</xm:f>
          </x14:formula1>
          <xm:sqref>K10</xm:sqref>
        </x14:dataValidation>
        <x14:dataValidation type="list" allowBlank="1" showInputMessage="1">
          <x14:formula1>
            <xm:f>Parameters!$C$26:$G$26</xm:f>
          </x14:formula1>
          <xm:sqref>J7</xm:sqref>
        </x14:dataValidation>
        <x14:dataValidation type="list" allowBlank="1" showInputMessage="1">
          <x14:formula1>
            <xm:f>Parameters!$D$26:$F$26</xm:f>
          </x14:formula1>
          <xm:sqref>K7</xm:sqref>
        </x14:dataValidation>
        <x14:dataValidation type="list" allowBlank="1" showInputMessage="1">
          <x14:formula1>
            <xm:f>Parameters!$C$21:$G$21</xm:f>
          </x14:formula1>
          <xm:sqref>J10</xm:sqref>
        </x14:dataValidation>
        <x14:dataValidation type="list" allowBlank="1" showInputMessage="1">
          <x14:formula1>
            <xm:f>Parameters!$C$24:$G$24</xm:f>
          </x14:formula1>
          <xm:sqref>J16:K16</xm:sqref>
        </x14:dataValidation>
        <x14:dataValidation type="list" allowBlank="1" showInputMessage="1">
          <x14:formula1>
            <xm:f>Parameters!$C$20:$G$20</xm:f>
          </x14:formula1>
          <xm:sqref>J18:K18</xm:sqref>
        </x14:dataValidation>
        <x14:dataValidation type="list" allowBlank="1" showInputMessage="1">
          <x14:formula1>
            <xm:f>Parameters!$C$17:$G$17</xm:f>
          </x14:formula1>
          <xm:sqref>J17:K17</xm:sqref>
        </x14:dataValidation>
        <x14:dataValidation type="list" allowBlank="1" showInputMessage="1">
          <x14:formula1>
            <xm:f>Parameters!$C$10:$G$10</xm:f>
          </x14:formula1>
          <xm:sqref>D7</xm:sqref>
        </x14:dataValidation>
        <x14:dataValidation type="list" allowBlank="1" showInputMessage="1">
          <x14:formula1>
            <xm:f>Parameters!$C$4:$G$4</xm:f>
          </x14:formula1>
          <xm:sqref>D10</xm:sqref>
        </x14:dataValidation>
        <x14:dataValidation type="list" allowBlank="1" showInputMessage="1">
          <x14:formula1>
            <xm:f>Parameters!$C$5:$G$5</xm:f>
          </x14:formula1>
          <xm:sqref>D11</xm:sqref>
        </x14:dataValidation>
        <x14:dataValidation type="list" allowBlank="1" showInputMessage="1">
          <x14:formula1>
            <xm:f>Parameters!$C$6:$G$6</xm:f>
          </x14:formula1>
          <xm:sqref>D14</xm:sqref>
        </x14:dataValidation>
        <x14:dataValidation type="list" allowBlank="1" showInputMessage="1">
          <x14:formula1>
            <xm:f>Parameters!$C$11:$G$11</xm:f>
          </x14:formula1>
          <xm:sqref>G7</xm:sqref>
        </x14:dataValidation>
        <x14:dataValidation type="list" allowBlank="1" showInputMessage="1">
          <x14:formula1>
            <xm:f>Parameters!$C$12:$G$12</xm:f>
          </x14:formula1>
          <xm:sqref>G9</xm:sqref>
        </x14:dataValidation>
        <x14:dataValidation type="list" allowBlank="1" showInputMessage="1">
          <x14:formula1>
            <xm:f>Parameters!$C$38:$G$38</xm:f>
          </x14:formula1>
          <xm:sqref>G11</xm:sqref>
        </x14:dataValidation>
        <x14:dataValidation type="list" allowBlank="1" showInputMessage="1">
          <x14:formula1>
            <xm:f>Parameters!$C$37:$G$37</xm:f>
          </x14:formula1>
          <xm:sqref>G14</xm:sqref>
        </x14:dataValidation>
        <x14:dataValidation type="list" allowBlank="1" showInputMessage="1">
          <x14:formula1>
            <xm:f>Parameters!$C$34:$G$34</xm:f>
          </x14:formula1>
          <xm:sqref>G16</xm:sqref>
        </x14:dataValidation>
        <x14:dataValidation type="list" allowBlank="1" showInputMessage="1">
          <x14:formula1>
            <xm:f>Parameters!$C$36:$G$36</xm:f>
          </x14:formula1>
          <xm:sqref>G18</xm:sqref>
        </x14:dataValidation>
        <x14:dataValidation type="list" allowBlank="1" showInputMessage="1">
          <x14:formula1>
            <xm:f>Parameters!$C$13:$G$13</xm:f>
          </x14:formula1>
          <xm:sqref>G8</xm:sqref>
        </x14:dataValidation>
        <x14:dataValidation type="list" allowBlank="1" showInputMessage="1">
          <x14:formula1>
            <xm:f>Parameters!$C$14:$G$14</xm:f>
          </x14:formula1>
          <xm:sqref>G10</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8"/>
  <sheetViews>
    <sheetView zoomScale="90" zoomScaleNormal="90" zoomScalePageLayoutView="90" workbookViewId="0">
      <selection activeCell="M11" sqref="M11"/>
    </sheetView>
  </sheetViews>
  <sheetFormatPr baseColWidth="10" defaultColWidth="8.83203125" defaultRowHeight="11" x14ac:dyDescent="0"/>
  <cols>
    <col min="1" max="1" width="1.5" style="1" customWidth="1"/>
    <col min="2" max="2" width="9.33203125" style="1" customWidth="1"/>
    <col min="3" max="3" width="14.5" style="1" customWidth="1"/>
    <col min="4" max="4" width="5.83203125" style="1" customWidth="1"/>
    <col min="5" max="5" width="1.83203125" style="1" customWidth="1"/>
    <col min="6" max="6" width="18" style="1" customWidth="1"/>
    <col min="7" max="7" width="13.5" style="1" customWidth="1"/>
    <col min="8" max="8" width="1.33203125" style="1" customWidth="1"/>
    <col min="9" max="9" width="16.33203125" style="1" customWidth="1"/>
    <col min="10" max="10" width="8.5" style="1" customWidth="1"/>
    <col min="11" max="11" width="1.6640625" style="1" customWidth="1"/>
    <col min="12" max="12" width="22.83203125" style="1" customWidth="1"/>
    <col min="13" max="13" width="8.5" style="1" customWidth="1"/>
    <col min="14" max="14" width="0.83203125" style="1" customWidth="1"/>
    <col min="15" max="15" width="2.83203125" style="1" customWidth="1"/>
    <col min="16" max="16" width="2.6640625" style="1" customWidth="1"/>
    <col min="17" max="17" width="15.5" style="1" customWidth="1"/>
    <col min="18" max="18" width="30.83203125" style="1" customWidth="1"/>
    <col min="19" max="19" width="23.5" style="1" customWidth="1"/>
    <col min="20" max="20" width="1" style="1" customWidth="1"/>
    <col min="21" max="21" width="24.33203125" style="1" customWidth="1"/>
    <col min="22" max="22" width="10.6640625" style="1" customWidth="1"/>
    <col min="23" max="23" width="12.5" style="1" customWidth="1"/>
    <col min="24" max="24" width="13.6640625" style="1" customWidth="1"/>
    <col min="25" max="25" width="12.83203125" style="1" customWidth="1"/>
    <col min="26" max="16384" width="8.83203125" style="1"/>
  </cols>
  <sheetData>
    <row r="1" spans="1:53" ht="6" customHeight="1" thickBot="1">
      <c r="A1" s="54"/>
      <c r="B1" s="14"/>
      <c r="C1" s="14"/>
      <c r="D1" s="14"/>
      <c r="E1" s="14"/>
      <c r="F1" s="14"/>
      <c r="G1" s="14"/>
      <c r="H1" s="14"/>
      <c r="I1" s="14"/>
      <c r="J1" s="14"/>
      <c r="K1" s="14"/>
      <c r="L1" s="14"/>
      <c r="M1" s="14"/>
      <c r="N1" s="14"/>
      <c r="O1" s="14"/>
      <c r="P1" s="14"/>
      <c r="Q1" s="14"/>
      <c r="R1" s="25"/>
      <c r="S1" s="14"/>
      <c r="T1" s="14"/>
      <c r="U1" s="14"/>
      <c r="V1" s="14"/>
      <c r="W1" s="14"/>
      <c r="X1" s="14"/>
      <c r="Y1" s="14"/>
      <c r="Z1" s="14"/>
      <c r="AA1" s="14"/>
      <c r="AB1" s="14"/>
      <c r="AC1" s="14"/>
      <c r="AD1" s="14"/>
      <c r="AE1" s="14"/>
      <c r="AF1" s="14"/>
      <c r="AG1" s="14"/>
      <c r="AH1" s="14"/>
      <c r="AI1" s="14"/>
      <c r="AJ1" s="14"/>
      <c r="AK1" s="14"/>
      <c r="AL1" s="14"/>
      <c r="AM1" s="14"/>
      <c r="AN1" s="14"/>
      <c r="AO1" s="14"/>
      <c r="AP1" s="14"/>
    </row>
    <row r="2" spans="1:53" ht="10.25" customHeight="1">
      <c r="A2" s="14"/>
      <c r="B2" s="14"/>
      <c r="C2" s="222"/>
      <c r="D2" s="17"/>
      <c r="E2" s="17"/>
      <c r="F2" s="17"/>
      <c r="G2" s="17"/>
      <c r="H2" s="17"/>
      <c r="I2" s="17"/>
      <c r="J2" s="54"/>
      <c r="K2" s="54"/>
      <c r="L2" s="54"/>
      <c r="M2" s="54"/>
      <c r="N2" s="14"/>
      <c r="O2" s="14"/>
      <c r="P2" s="14"/>
      <c r="Q2" s="14"/>
      <c r="S2" s="302" t="s">
        <v>233</v>
      </c>
      <c r="T2" s="303"/>
      <c r="U2" s="195"/>
      <c r="V2" s="195"/>
      <c r="W2" s="195"/>
      <c r="X2" s="14"/>
      <c r="Y2" s="14"/>
      <c r="Z2" s="14"/>
      <c r="AA2" s="14"/>
      <c r="AB2" s="14"/>
      <c r="AC2" s="14"/>
      <c r="AD2" s="14"/>
      <c r="AE2" s="14"/>
      <c r="AF2" s="14"/>
      <c r="AG2" s="14"/>
      <c r="AH2" s="14"/>
      <c r="AI2" s="14"/>
      <c r="AJ2" s="14"/>
      <c r="AK2" s="14"/>
      <c r="AL2" s="14"/>
      <c r="AM2" s="14"/>
      <c r="AN2" s="14"/>
      <c r="AO2" s="14"/>
      <c r="AP2" s="14"/>
      <c r="AR2" t="s">
        <v>133</v>
      </c>
      <c r="AS2" t="s">
        <v>134</v>
      </c>
      <c r="AT2" t="s">
        <v>135</v>
      </c>
      <c r="AU2" t="s">
        <v>136</v>
      </c>
      <c r="AV2" t="s">
        <v>137</v>
      </c>
      <c r="AW2" t="s">
        <v>138</v>
      </c>
      <c r="AX2" t="s">
        <v>139</v>
      </c>
      <c r="AY2" t="s">
        <v>168</v>
      </c>
      <c r="AZ2" t="s">
        <v>141</v>
      </c>
    </row>
    <row r="3" spans="1:53" ht="10.25" customHeight="1" thickBot="1">
      <c r="A3" s="14"/>
      <c r="B3" s="222"/>
      <c r="C3" s="222"/>
      <c r="D3" s="17"/>
      <c r="E3" s="17"/>
      <c r="F3" s="17"/>
      <c r="G3" s="17"/>
      <c r="H3" s="17"/>
      <c r="I3" s="17"/>
      <c r="J3" s="54"/>
      <c r="K3" s="54"/>
      <c r="L3" s="54"/>
      <c r="M3" s="54"/>
      <c r="N3" s="14"/>
      <c r="O3" s="14"/>
      <c r="P3" s="14"/>
      <c r="Q3" s="14"/>
      <c r="R3" s="195"/>
      <c r="S3" s="304"/>
      <c r="T3" s="305"/>
      <c r="U3" s="195"/>
      <c r="V3" s="195"/>
      <c r="W3" s="195"/>
      <c r="X3" s="14"/>
      <c r="Y3" s="14"/>
      <c r="Z3" s="14"/>
      <c r="AA3" s="14"/>
      <c r="AB3" s="14"/>
      <c r="AC3" s="14"/>
      <c r="AD3" s="14"/>
      <c r="AE3" s="14"/>
      <c r="AF3" s="14"/>
      <c r="AG3" s="14"/>
      <c r="AH3" s="14"/>
      <c r="AI3" s="14"/>
      <c r="AJ3" s="14"/>
      <c r="AK3" s="14"/>
      <c r="AL3" s="14"/>
      <c r="AM3" s="14"/>
      <c r="AN3" s="14"/>
      <c r="AO3" s="14"/>
      <c r="AP3" s="14"/>
      <c r="AR3"/>
      <c r="AS3"/>
      <c r="AT3"/>
      <c r="AU3"/>
      <c r="AV3"/>
      <c r="AW3"/>
      <c r="AX3"/>
      <c r="AY3"/>
      <c r="AZ3"/>
    </row>
    <row r="4" spans="1:53" ht="40.75" customHeight="1">
      <c r="A4" s="14"/>
      <c r="B4" s="317" t="s">
        <v>295</v>
      </c>
      <c r="C4" s="317"/>
      <c r="D4" s="317"/>
      <c r="E4" s="224"/>
      <c r="F4" s="313" t="s">
        <v>232</v>
      </c>
      <c r="G4" s="314"/>
      <c r="H4" s="17"/>
      <c r="I4" s="14"/>
      <c r="J4" s="14"/>
      <c r="K4" s="14"/>
      <c r="L4" s="14"/>
      <c r="M4" s="14"/>
      <c r="N4" s="77"/>
      <c r="O4" s="77"/>
      <c r="P4" s="77"/>
      <c r="Q4" s="189"/>
      <c r="R4" s="256" t="s">
        <v>213</v>
      </c>
      <c r="S4" s="256" t="s">
        <v>30</v>
      </c>
      <c r="T4" s="298" t="s">
        <v>214</v>
      </c>
      <c r="U4" s="298"/>
      <c r="V4" s="298" t="s">
        <v>215</v>
      </c>
      <c r="W4" s="299"/>
      <c r="X4" s="14"/>
      <c r="Y4" s="14"/>
      <c r="Z4" s="14"/>
      <c r="AA4" s="14"/>
      <c r="AB4" s="14"/>
      <c r="AC4" s="14"/>
      <c r="AD4" s="14"/>
      <c r="AE4" s="14"/>
      <c r="AF4" s="14"/>
      <c r="AG4" s="14"/>
      <c r="AH4" s="14"/>
      <c r="AI4" s="14"/>
      <c r="AJ4" s="14"/>
      <c r="AK4" s="14"/>
      <c r="AL4" s="14"/>
      <c r="AM4" s="14"/>
      <c r="AN4" s="14"/>
      <c r="AO4" s="14"/>
      <c r="AP4" s="14"/>
      <c r="AR4">
        <v>0</v>
      </c>
      <c r="AS4" s="85">
        <f>Q36</f>
        <v>288</v>
      </c>
      <c r="AT4" s="85">
        <f>(1-$D$11)*AS4</f>
        <v>144</v>
      </c>
      <c r="AU4" s="85"/>
      <c r="AV4"/>
      <c r="AW4">
        <f>IF(ISNUMBER(AR5),SUM(AT4:AU4),SUM(AT4:AV4))</f>
        <v>144</v>
      </c>
      <c r="AX4" s="86">
        <f t="shared" ref="AX4:AX30" si="0">LN(AW4+$J$36)-LN($J$36)</f>
        <v>0.407887093456063</v>
      </c>
      <c r="AY4">
        <f>IF(ISNUMBER(AR4),AX4/(1+$D$7)^AR4,0)</f>
        <v>0.407887093456063</v>
      </c>
      <c r="AZ4"/>
    </row>
    <row r="5" spans="1:53" ht="10.75" customHeight="1" thickBot="1">
      <c r="A5" s="14"/>
      <c r="B5" s="318"/>
      <c r="C5" s="318"/>
      <c r="D5" s="318"/>
      <c r="E5" s="223"/>
      <c r="F5" s="315"/>
      <c r="G5" s="316"/>
      <c r="H5" s="27"/>
      <c r="I5" s="27"/>
      <c r="J5" s="14"/>
      <c r="K5" s="14"/>
      <c r="L5" s="14"/>
      <c r="M5" s="14"/>
      <c r="N5" s="14"/>
      <c r="O5" s="14"/>
      <c r="P5" s="14"/>
      <c r="Q5" s="258" t="s">
        <v>236</v>
      </c>
      <c r="R5" s="257">
        <f>D36/(1+D7)^10</f>
        <v>0.1553200531458121</v>
      </c>
      <c r="S5" s="257">
        <f>R5*(1-1/(1+D7)^G16)/(1-1/(1+D7))</f>
        <v>2.2985258299838089</v>
      </c>
      <c r="T5" s="300">
        <f>S5*G7*G9*G18*G8/G36</f>
        <v>2.5965711917555683E-2</v>
      </c>
      <c r="U5" s="300"/>
      <c r="V5" s="300">
        <f>G14*G11</f>
        <v>4.26761280943278E-3</v>
      </c>
      <c r="W5" s="301"/>
      <c r="X5" s="14"/>
      <c r="Y5" s="14"/>
      <c r="Z5" s="14"/>
      <c r="AA5" s="14"/>
      <c r="AB5" s="14"/>
      <c r="AC5" s="14"/>
      <c r="AD5" s="14"/>
      <c r="AE5" s="14"/>
      <c r="AF5" s="14"/>
      <c r="AG5" s="14"/>
      <c r="AH5" s="14"/>
      <c r="AI5" s="14"/>
      <c r="AJ5" s="14"/>
      <c r="AK5" s="14"/>
      <c r="AL5" s="14"/>
      <c r="AM5" s="14"/>
      <c r="AN5" s="14"/>
      <c r="AO5" s="14"/>
      <c r="AP5" s="14"/>
      <c r="AR5">
        <f t="shared" ref="AR5:AR68" si="1">IF(AR4&lt;$D$14,AR4+1,"")</f>
        <v>1</v>
      </c>
      <c r="AS5" s="85">
        <f>AS4-AT4</f>
        <v>144</v>
      </c>
      <c r="AT5" s="85"/>
      <c r="AU5" s="85">
        <f t="shared" ref="AU5:AU70" si="2">$D$10*AS5</f>
        <v>14.4</v>
      </c>
      <c r="AV5" s="85">
        <f>AS5</f>
        <v>144</v>
      </c>
      <c r="AW5">
        <f t="shared" ref="AW5:AW14" si="3">IF(ISNUMBER(AR6),SUM(AT5:AU5),SUM(AT5:AV5))</f>
        <v>14.4</v>
      </c>
      <c r="AX5" s="86">
        <f t="shared" si="0"/>
        <v>4.9136521427080027E-2</v>
      </c>
      <c r="AY5">
        <f t="shared" ref="AY5:AY70" si="4">IF(ISNUMBER(AR5),AX5/(1+$D$7)^AR5,0)</f>
        <v>4.6796687073409546E-2</v>
      </c>
      <c r="AZ5">
        <f>SUM(AY5:AY113)</f>
        <v>0.69843297965683127</v>
      </c>
      <c r="BA5" s="1">
        <f>SUM(AY5:AY23)</f>
        <v>0.69843297965683127</v>
      </c>
    </row>
    <row r="6" spans="1:53" ht="14">
      <c r="A6" s="14"/>
      <c r="B6" s="10"/>
      <c r="C6" s="311" t="s">
        <v>12</v>
      </c>
      <c r="D6" s="311"/>
      <c r="E6" s="49"/>
      <c r="F6" s="23" t="s">
        <v>13</v>
      </c>
      <c r="G6" s="24"/>
      <c r="H6" s="50"/>
      <c r="I6" s="311" t="s">
        <v>40</v>
      </c>
      <c r="J6" s="311"/>
      <c r="K6" s="159"/>
      <c r="L6" s="312" t="s">
        <v>210</v>
      </c>
      <c r="M6" s="312"/>
      <c r="N6" s="11"/>
      <c r="O6" s="6"/>
      <c r="P6" s="14"/>
      <c r="Q6" s="258" t="s">
        <v>237</v>
      </c>
      <c r="R6" s="257">
        <f>(M15*M11)/(1+D7)^10</f>
        <v>7.2932894520642208E-3</v>
      </c>
      <c r="S6" s="257">
        <f>R6*(1-1/(1+D7)^G16)/(1-1/(1+D7))</f>
        <v>0.10793077810358756</v>
      </c>
      <c r="T6" s="300">
        <f>S6*M8*M9*M14*(W36/V36)</f>
        <v>1.1629541340661561E-3</v>
      </c>
      <c r="U6" s="300"/>
      <c r="V6" s="300">
        <v>0</v>
      </c>
      <c r="W6" s="301"/>
      <c r="X6" s="14"/>
      <c r="Y6" s="14"/>
      <c r="Z6" s="14"/>
      <c r="AA6" s="14"/>
      <c r="AB6" s="14"/>
      <c r="AC6" s="14"/>
      <c r="AD6" s="14"/>
      <c r="AE6" s="14"/>
      <c r="AF6" s="14"/>
      <c r="AG6" s="14"/>
      <c r="AH6" s="14"/>
      <c r="AI6" s="14"/>
      <c r="AJ6" s="14"/>
      <c r="AK6" s="14"/>
      <c r="AL6" s="14"/>
      <c r="AM6" s="14"/>
      <c r="AN6" s="14"/>
      <c r="AO6" s="14"/>
      <c r="AP6" s="14"/>
      <c r="AR6">
        <f t="shared" si="1"/>
        <v>2</v>
      </c>
      <c r="AS6" s="85">
        <f t="shared" ref="AS6:AS71" si="5">IF(ISNUMBER(AR6),AV5,0)</f>
        <v>144</v>
      </c>
      <c r="AT6" s="85"/>
      <c r="AU6" s="85">
        <f t="shared" si="2"/>
        <v>14.4</v>
      </c>
      <c r="AV6" s="85">
        <f t="shared" ref="AV6:AV71" si="6">AS6</f>
        <v>144</v>
      </c>
      <c r="AW6">
        <f t="shared" si="3"/>
        <v>14.4</v>
      </c>
      <c r="AX6" s="86">
        <f t="shared" si="0"/>
        <v>4.9136521427080027E-2</v>
      </c>
      <c r="AY6">
        <f t="shared" si="4"/>
        <v>4.4568273403247191E-2</v>
      </c>
      <c r="AZ6"/>
    </row>
    <row r="7" spans="1:53" ht="20.5" customHeight="1">
      <c r="A7" s="14"/>
      <c r="B7" s="306" t="s">
        <v>47</v>
      </c>
      <c r="C7" s="139" t="s">
        <v>0</v>
      </c>
      <c r="D7" s="267">
        <v>0.05</v>
      </c>
      <c r="E7" s="2"/>
      <c r="F7" s="174" t="s">
        <v>4</v>
      </c>
      <c r="G7" s="268">
        <f>0.3025*0.75</f>
        <v>0.22687499999999999</v>
      </c>
      <c r="H7" s="4"/>
      <c r="I7" s="174" t="s">
        <v>8</v>
      </c>
      <c r="J7" s="175">
        <v>8.9139100940933511E-2</v>
      </c>
      <c r="K7" s="160"/>
      <c r="L7" s="174" t="s">
        <v>217</v>
      </c>
      <c r="M7" s="180">
        <v>7.4999999999999997E-2</v>
      </c>
      <c r="N7" s="12"/>
      <c r="O7" s="6"/>
      <c r="P7" s="14"/>
      <c r="Q7" s="15"/>
      <c r="R7" s="6"/>
      <c r="S7" s="6"/>
      <c r="T7" s="6"/>
      <c r="U7" s="164"/>
      <c r="V7" s="6"/>
      <c r="W7" s="12"/>
      <c r="X7" s="14"/>
      <c r="Y7" s="14"/>
      <c r="Z7" s="14"/>
      <c r="AA7" s="14"/>
      <c r="AB7" s="14"/>
      <c r="AC7" s="14"/>
      <c r="AD7" s="14"/>
      <c r="AE7" s="14"/>
      <c r="AF7" s="14"/>
      <c r="AG7" s="14"/>
      <c r="AH7" s="14"/>
      <c r="AI7" s="14"/>
      <c r="AJ7" s="14"/>
      <c r="AK7" s="14"/>
      <c r="AL7" s="14"/>
      <c r="AM7" s="14"/>
      <c r="AN7" s="14"/>
      <c r="AO7" s="14"/>
      <c r="AP7" s="14"/>
      <c r="AR7">
        <f t="shared" si="1"/>
        <v>3</v>
      </c>
      <c r="AS7" s="85">
        <f>IF(ISNUMBER(AR7),AV6,0)</f>
        <v>144</v>
      </c>
      <c r="AT7" s="85"/>
      <c r="AU7" s="85">
        <f t="shared" si="2"/>
        <v>14.4</v>
      </c>
      <c r="AV7" s="85">
        <f t="shared" si="6"/>
        <v>144</v>
      </c>
      <c r="AW7">
        <f t="shared" si="3"/>
        <v>14.4</v>
      </c>
      <c r="AX7" s="86">
        <f t="shared" si="0"/>
        <v>4.9136521427080027E-2</v>
      </c>
      <c r="AY7">
        <f t="shared" si="4"/>
        <v>4.2445974669759225E-2</v>
      </c>
      <c r="AZ7"/>
    </row>
    <row r="8" spans="1:53" ht="20.5" customHeight="1">
      <c r="A8" s="14"/>
      <c r="B8" s="306"/>
      <c r="C8" s="127"/>
      <c r="D8" s="127"/>
      <c r="E8" s="51"/>
      <c r="F8" s="178" t="s">
        <v>6</v>
      </c>
      <c r="G8" s="269">
        <v>0.5</v>
      </c>
      <c r="H8" s="5"/>
      <c r="I8" s="153" t="s">
        <v>9</v>
      </c>
      <c r="J8" s="270">
        <v>0.35</v>
      </c>
      <c r="K8" s="161"/>
      <c r="L8" s="153" t="s">
        <v>211</v>
      </c>
      <c r="M8" s="154">
        <v>0.75</v>
      </c>
      <c r="N8" s="12"/>
      <c r="O8" s="6"/>
      <c r="P8" s="14"/>
      <c r="Q8" s="309" t="s">
        <v>238</v>
      </c>
      <c r="R8" s="6"/>
      <c r="S8" s="259" t="s">
        <v>31</v>
      </c>
      <c r="T8" s="319" t="s">
        <v>34</v>
      </c>
      <c r="U8" s="319"/>
      <c r="V8" s="97"/>
      <c r="W8" s="12"/>
      <c r="X8" s="14"/>
      <c r="Y8" s="14"/>
      <c r="Z8" s="14"/>
      <c r="AA8" s="14"/>
      <c r="AB8" s="14"/>
      <c r="AC8" s="14"/>
      <c r="AD8" s="14"/>
      <c r="AE8" s="14"/>
      <c r="AF8" s="14"/>
      <c r="AG8" s="14"/>
      <c r="AH8" s="14"/>
      <c r="AI8" s="14"/>
      <c r="AJ8" s="14"/>
      <c r="AK8" s="14"/>
      <c r="AL8" s="14"/>
      <c r="AM8" s="14"/>
      <c r="AN8" s="14"/>
      <c r="AO8" s="14"/>
      <c r="AP8" s="14"/>
      <c r="AR8">
        <f t="shared" si="1"/>
        <v>4</v>
      </c>
      <c r="AS8" s="85">
        <f t="shared" si="5"/>
        <v>144</v>
      </c>
      <c r="AT8" s="85"/>
      <c r="AU8" s="85">
        <f t="shared" si="2"/>
        <v>14.4</v>
      </c>
      <c r="AV8" s="85">
        <f t="shared" si="6"/>
        <v>144</v>
      </c>
      <c r="AW8">
        <f t="shared" si="3"/>
        <v>14.4</v>
      </c>
      <c r="AX8" s="86">
        <f t="shared" si="0"/>
        <v>4.9136521427080027E-2</v>
      </c>
      <c r="AY8">
        <f t="shared" si="4"/>
        <v>4.0424737780723072E-2</v>
      </c>
      <c r="AZ8"/>
    </row>
    <row r="9" spans="1:53" ht="33">
      <c r="A9" s="14"/>
      <c r="B9" s="306"/>
      <c r="C9" s="307" t="s">
        <v>14</v>
      </c>
      <c r="D9" s="307"/>
      <c r="E9" s="2"/>
      <c r="F9" s="153" t="s">
        <v>177</v>
      </c>
      <c r="G9" s="270">
        <v>0.8</v>
      </c>
      <c r="H9" s="5"/>
      <c r="I9" s="153" t="s">
        <v>204</v>
      </c>
      <c r="J9" s="154">
        <v>2</v>
      </c>
      <c r="K9" s="161"/>
      <c r="L9" s="153" t="s">
        <v>212</v>
      </c>
      <c r="M9" s="154">
        <v>0.5</v>
      </c>
      <c r="N9" s="12"/>
      <c r="O9" s="6"/>
      <c r="P9" s="14"/>
      <c r="Q9" s="309"/>
      <c r="R9" s="21" t="s">
        <v>46</v>
      </c>
      <c r="S9" s="125">
        <f>($V$5+$T$5*J14)*J7*J11</f>
        <v>2.1559771076952363E-3</v>
      </c>
      <c r="T9" s="308">
        <f>S9/(J16/J9)</f>
        <v>2.8746361435936486E-2</v>
      </c>
      <c r="U9" s="308"/>
      <c r="V9" s="99"/>
      <c r="W9" s="12"/>
      <c r="X9" s="14"/>
      <c r="Y9" s="14"/>
      <c r="Z9" s="14"/>
      <c r="AA9" s="14"/>
      <c r="AB9" s="14"/>
      <c r="AC9" s="14"/>
      <c r="AD9" s="14"/>
      <c r="AE9" s="14"/>
      <c r="AF9" s="14"/>
      <c r="AG9" s="14"/>
      <c r="AH9" s="14"/>
      <c r="AI9" s="14"/>
      <c r="AJ9" s="14"/>
      <c r="AK9" s="14"/>
      <c r="AL9" s="14"/>
      <c r="AM9" s="14"/>
      <c r="AN9" s="14"/>
      <c r="AO9" s="14"/>
      <c r="AP9" s="14"/>
      <c r="AR9">
        <f t="shared" si="1"/>
        <v>5</v>
      </c>
      <c r="AS9" s="85">
        <f t="shared" si="5"/>
        <v>144</v>
      </c>
      <c r="AT9" s="85"/>
      <c r="AU9" s="85">
        <f t="shared" si="2"/>
        <v>14.4</v>
      </c>
      <c r="AV9" s="85">
        <f t="shared" si="6"/>
        <v>144</v>
      </c>
      <c r="AW9">
        <f>IF(ISNUMBER(AR10),SUM(AT9:AU9),SUM(AT9:AV9))</f>
        <v>14.4</v>
      </c>
      <c r="AX9" s="86">
        <f t="shared" si="0"/>
        <v>4.9136521427080027E-2</v>
      </c>
      <c r="AY9">
        <f t="shared" si="4"/>
        <v>3.8499750267355304E-2</v>
      </c>
      <c r="AZ9"/>
    </row>
    <row r="10" spans="1:53" ht="26.5" customHeight="1">
      <c r="A10" s="14"/>
      <c r="B10" s="306"/>
      <c r="C10" s="121" t="s">
        <v>3</v>
      </c>
      <c r="D10" s="271">
        <v>0.1</v>
      </c>
      <c r="E10" s="112"/>
      <c r="F10" s="126" t="s">
        <v>176</v>
      </c>
      <c r="G10" s="272">
        <v>0.1</v>
      </c>
      <c r="H10" s="113"/>
      <c r="I10" s="153" t="s">
        <v>205</v>
      </c>
      <c r="J10" s="154">
        <f>1/(1-(0.29*0.6))</f>
        <v>1.2106537530266344</v>
      </c>
      <c r="K10" s="161"/>
      <c r="L10" s="153" t="s">
        <v>227</v>
      </c>
      <c r="M10" s="154">
        <v>2</v>
      </c>
      <c r="N10" s="12"/>
      <c r="O10" s="6"/>
      <c r="P10" s="14"/>
      <c r="Q10" s="309"/>
      <c r="R10" s="21" t="s">
        <v>45</v>
      </c>
      <c r="S10" s="262">
        <f>($V$5+$T$5*J15)*J8*J18</f>
        <v>9.6728637373315121E-3</v>
      </c>
      <c r="T10" s="308">
        <f>S10/(J17/J10)</f>
        <v>9.5207225903379111E-3</v>
      </c>
      <c r="U10" s="308"/>
      <c r="V10" s="99"/>
      <c r="W10" s="12"/>
      <c r="X10" s="14"/>
      <c r="Y10" s="14"/>
      <c r="Z10" s="14"/>
      <c r="AA10" s="14"/>
      <c r="AB10" s="14"/>
      <c r="AC10" s="14"/>
      <c r="AD10" s="14"/>
      <c r="AE10" s="14"/>
      <c r="AF10" s="14"/>
      <c r="AG10" s="14"/>
      <c r="AH10" s="14"/>
      <c r="AI10" s="14"/>
      <c r="AJ10" s="14"/>
      <c r="AK10" s="14"/>
      <c r="AL10" s="14"/>
      <c r="AM10" s="14"/>
      <c r="AN10" s="14"/>
      <c r="AO10" s="14"/>
      <c r="AP10" s="14"/>
      <c r="AR10">
        <f t="shared" si="1"/>
        <v>6</v>
      </c>
      <c r="AS10" s="85">
        <f>IF(ISNUMBER(AR10),AV9,0)</f>
        <v>144</v>
      </c>
      <c r="AT10" s="85"/>
      <c r="AU10" s="85">
        <f t="shared" si="2"/>
        <v>14.4</v>
      </c>
      <c r="AV10" s="85">
        <f t="shared" si="6"/>
        <v>144</v>
      </c>
      <c r="AW10">
        <f>IF(ISNUMBER(AR11),SUM(AT10:AU10),SUM(AT10:AV10))</f>
        <v>14.4</v>
      </c>
      <c r="AX10" s="86">
        <f t="shared" si="0"/>
        <v>4.9136521427080027E-2</v>
      </c>
      <c r="AY10">
        <f t="shared" si="4"/>
        <v>3.6666428826052679E-2</v>
      </c>
      <c r="AZ10"/>
    </row>
    <row r="11" spans="1:53" ht="33" customHeight="1">
      <c r="A11" s="14"/>
      <c r="B11" s="306"/>
      <c r="C11" s="134" t="s">
        <v>5</v>
      </c>
      <c r="D11" s="273">
        <v>0.5</v>
      </c>
      <c r="E11" s="3"/>
      <c r="F11" s="153" t="s">
        <v>186</v>
      </c>
      <c r="G11" s="274">
        <v>2</v>
      </c>
      <c r="H11" s="6"/>
      <c r="I11" s="153" t="s">
        <v>107</v>
      </c>
      <c r="J11" s="154">
        <v>0.8</v>
      </c>
      <c r="K11" s="161"/>
      <c r="L11" s="153" t="s">
        <v>226</v>
      </c>
      <c r="M11" s="154">
        <v>0.33</v>
      </c>
      <c r="N11" s="12"/>
      <c r="O11" s="14"/>
      <c r="P11" s="14"/>
      <c r="Q11" s="309"/>
      <c r="R11" s="21" t="s">
        <v>216</v>
      </c>
      <c r="S11" s="262">
        <f>T6*M12</f>
        <v>7.6754972848366301E-4</v>
      </c>
      <c r="T11" s="310">
        <f>M13*S11/(M7/M10)</f>
        <v>1.0233996379782173E-2</v>
      </c>
      <c r="U11" s="308"/>
      <c r="V11" s="99"/>
      <c r="W11" s="12"/>
      <c r="X11" s="14"/>
      <c r="Y11" s="14"/>
      <c r="Z11" s="14"/>
      <c r="AA11" s="14"/>
      <c r="AB11" s="14"/>
      <c r="AC11" s="14"/>
      <c r="AD11" s="14"/>
      <c r="AE11" s="14"/>
      <c r="AF11" s="14"/>
      <c r="AG11" s="14"/>
      <c r="AH11" s="14"/>
      <c r="AI11" s="14"/>
      <c r="AJ11" s="14"/>
      <c r="AK11" s="14"/>
      <c r="AL11" s="14"/>
      <c r="AM11" s="14"/>
      <c r="AN11" s="14"/>
      <c r="AO11" s="14"/>
      <c r="AP11" s="14"/>
      <c r="AR11">
        <f t="shared" si="1"/>
        <v>7</v>
      </c>
      <c r="AS11" s="85">
        <f>IF(ISNUMBER(AR11),AV10,0)</f>
        <v>144</v>
      </c>
      <c r="AT11" s="85"/>
      <c r="AU11" s="85">
        <f t="shared" si="2"/>
        <v>14.4</v>
      </c>
      <c r="AV11" s="85">
        <f t="shared" si="6"/>
        <v>144</v>
      </c>
      <c r="AW11">
        <f>IF(ISNUMBER(AR12),SUM(AT11:AU11),SUM(AT11:AV11))</f>
        <v>14.4</v>
      </c>
      <c r="AX11" s="86">
        <f t="shared" si="0"/>
        <v>4.9136521427080027E-2</v>
      </c>
      <c r="AY11">
        <f t="shared" si="4"/>
        <v>3.492040840576445E-2</v>
      </c>
      <c r="AZ11"/>
    </row>
    <row r="12" spans="1:53" ht="10.75" customHeight="1">
      <c r="A12" s="14"/>
      <c r="B12" s="15"/>
      <c r="C12" s="9"/>
      <c r="D12" s="8"/>
      <c r="E12" s="2"/>
      <c r="F12" s="52"/>
      <c r="G12" s="53"/>
      <c r="H12" s="9"/>
      <c r="I12" s="9"/>
      <c r="J12" s="8"/>
      <c r="K12" s="6"/>
      <c r="L12" s="153" t="s">
        <v>219</v>
      </c>
      <c r="M12" s="154">
        <v>0.66</v>
      </c>
      <c r="N12" s="12"/>
      <c r="O12" s="6"/>
      <c r="P12" s="14"/>
      <c r="Q12" s="123"/>
      <c r="R12" s="21"/>
      <c r="S12" s="124"/>
      <c r="T12" s="99"/>
      <c r="U12" s="99"/>
      <c r="V12" s="99"/>
      <c r="W12" s="12"/>
      <c r="X12" s="14"/>
      <c r="Y12" s="14"/>
      <c r="Z12" s="14"/>
      <c r="AA12" s="14"/>
      <c r="AB12" s="14"/>
      <c r="AC12" s="14"/>
      <c r="AD12" s="14"/>
      <c r="AE12" s="14"/>
      <c r="AF12" s="14"/>
      <c r="AG12" s="14"/>
      <c r="AH12" s="14"/>
      <c r="AI12" s="14"/>
      <c r="AJ12" s="14"/>
      <c r="AK12" s="14"/>
      <c r="AL12" s="14"/>
      <c r="AM12" s="14"/>
      <c r="AN12" s="14"/>
      <c r="AO12" s="14"/>
      <c r="AP12" s="14"/>
      <c r="AR12">
        <f t="shared" si="1"/>
        <v>8</v>
      </c>
      <c r="AS12" s="85">
        <f>IF(ISNUMBER(AR12),AV11,0)</f>
        <v>144</v>
      </c>
      <c r="AT12" s="85"/>
      <c r="AU12" s="85">
        <f t="shared" si="2"/>
        <v>14.4</v>
      </c>
      <c r="AV12" s="85">
        <f t="shared" si="6"/>
        <v>144</v>
      </c>
      <c r="AW12">
        <f>IF(ISNUMBER(AR13),SUM(AT12:AU12),SUM(AT12:AV12))</f>
        <v>14.4</v>
      </c>
      <c r="AX12" s="86">
        <f t="shared" si="0"/>
        <v>4.9136521427080027E-2</v>
      </c>
      <c r="AY12">
        <f t="shared" si="4"/>
        <v>3.3257531815013765E-2</v>
      </c>
      <c r="AZ12"/>
    </row>
    <row r="13" spans="1:53" ht="24" customHeight="1">
      <c r="A13" s="14"/>
      <c r="B13" s="15"/>
      <c r="C13" s="9"/>
      <c r="D13" s="8"/>
      <c r="E13" s="2"/>
      <c r="F13" s="52"/>
      <c r="G13" s="53"/>
      <c r="H13" s="6"/>
      <c r="I13" s="9"/>
      <c r="J13" s="8"/>
      <c r="K13" s="6"/>
      <c r="L13" s="153" t="s">
        <v>218</v>
      </c>
      <c r="M13" s="154">
        <v>0.5</v>
      </c>
      <c r="N13" s="12"/>
      <c r="O13" s="6"/>
      <c r="P13" s="14"/>
      <c r="Q13" s="309" t="s">
        <v>239</v>
      </c>
      <c r="R13" s="48"/>
      <c r="S13" s="259" t="s">
        <v>173</v>
      </c>
      <c r="T13" s="319" t="s">
        <v>174</v>
      </c>
      <c r="U13" s="319"/>
      <c r="V13" s="259" t="s">
        <v>175</v>
      </c>
      <c r="W13" s="261" t="s">
        <v>184</v>
      </c>
      <c r="X13" s="14"/>
      <c r="Y13" s="14"/>
      <c r="Z13" s="14"/>
      <c r="AA13" s="14"/>
      <c r="AB13" s="14"/>
      <c r="AC13" s="14"/>
      <c r="AD13" s="14"/>
      <c r="AE13" s="14"/>
      <c r="AF13" s="14"/>
      <c r="AG13" s="14"/>
      <c r="AH13" s="14"/>
      <c r="AI13" s="14"/>
      <c r="AJ13" s="14"/>
      <c r="AK13" s="14"/>
      <c r="AL13" s="14"/>
      <c r="AM13" s="14"/>
      <c r="AN13" s="14"/>
      <c r="AO13" s="14"/>
      <c r="AP13" s="14"/>
      <c r="AR13">
        <f t="shared" si="1"/>
        <v>9</v>
      </c>
      <c r="AS13" s="85">
        <f>IF(ISNUMBER(AR13),AV12,0)</f>
        <v>144</v>
      </c>
      <c r="AT13" s="85"/>
      <c r="AU13" s="85">
        <f t="shared" si="2"/>
        <v>14.4</v>
      </c>
      <c r="AV13" s="85">
        <f t="shared" si="6"/>
        <v>144</v>
      </c>
      <c r="AW13">
        <f t="shared" si="3"/>
        <v>14.4</v>
      </c>
      <c r="AX13" s="86">
        <f t="shared" si="0"/>
        <v>4.9136521427080027E-2</v>
      </c>
      <c r="AY13">
        <f t="shared" si="4"/>
        <v>3.167383982382263E-2</v>
      </c>
      <c r="AZ13"/>
    </row>
    <row r="14" spans="1:53" ht="21" customHeight="1">
      <c r="A14" s="14"/>
      <c r="B14" s="357" t="s">
        <v>296</v>
      </c>
      <c r="C14" s="358" t="s">
        <v>1</v>
      </c>
      <c r="D14" s="398">
        <v>15</v>
      </c>
      <c r="E14" s="3"/>
      <c r="F14" s="358" t="s">
        <v>2</v>
      </c>
      <c r="G14" s="398">
        <v>2.13380640471639E-3</v>
      </c>
      <c r="H14" s="6"/>
      <c r="I14" s="128" t="s">
        <v>11</v>
      </c>
      <c r="J14" s="129">
        <v>1</v>
      </c>
      <c r="K14" s="162"/>
      <c r="L14" s="153" t="s">
        <v>220</v>
      </c>
      <c r="M14" s="154">
        <v>1</v>
      </c>
      <c r="N14" s="12"/>
      <c r="O14" s="6"/>
      <c r="P14" s="14"/>
      <c r="Q14" s="309"/>
      <c r="R14" s="21" t="s">
        <v>46</v>
      </c>
      <c r="S14" s="262">
        <f>(1000/(J16/J9))*J14*J11*G9*G10*G7*J7*G8*G18*(1/G36)</f>
        <v>1.0741076727488421</v>
      </c>
      <c r="T14" s="325">
        <f>(((1000/(J16/J9))*G14)/U36)*J7*J11</f>
        <v>5.5547147651832898E-2</v>
      </c>
      <c r="U14" s="325"/>
      <c r="V14" s="262">
        <f>S14+T14</f>
        <v>1.1296548204006751</v>
      </c>
      <c r="W14" s="192">
        <f>1000/V14</f>
        <v>885.22616107220426</v>
      </c>
      <c r="X14" s="14"/>
      <c r="Y14" s="14"/>
      <c r="Z14" s="14"/>
      <c r="AA14" s="14"/>
      <c r="AB14" s="14"/>
      <c r="AC14" s="14"/>
      <c r="AD14" s="14"/>
      <c r="AE14" s="14"/>
      <c r="AF14" s="14"/>
      <c r="AG14" s="14"/>
      <c r="AH14" s="14"/>
      <c r="AI14" s="14"/>
      <c r="AJ14" s="14"/>
      <c r="AK14" s="14"/>
      <c r="AL14" s="14"/>
      <c r="AM14" s="14"/>
      <c r="AN14" s="14"/>
      <c r="AO14" s="14"/>
      <c r="AP14" s="14"/>
      <c r="AR14">
        <f t="shared" si="1"/>
        <v>10</v>
      </c>
      <c r="AS14" s="85">
        <f t="shared" si="5"/>
        <v>144</v>
      </c>
      <c r="AT14" s="85"/>
      <c r="AU14" s="85">
        <f t="shared" si="2"/>
        <v>14.4</v>
      </c>
      <c r="AV14" s="85">
        <f t="shared" si="6"/>
        <v>144</v>
      </c>
      <c r="AW14">
        <f t="shared" si="3"/>
        <v>14.4</v>
      </c>
      <c r="AX14" s="86">
        <f t="shared" si="0"/>
        <v>4.9136521427080027E-2</v>
      </c>
      <c r="AY14">
        <f t="shared" si="4"/>
        <v>3.0165561736973934E-2</v>
      </c>
      <c r="AZ14"/>
    </row>
    <row r="15" spans="1:53" ht="21" customHeight="1">
      <c r="A15" s="14"/>
      <c r="B15" s="357"/>
      <c r="C15" s="354"/>
      <c r="D15" s="398"/>
      <c r="E15" s="3"/>
      <c r="F15" s="354"/>
      <c r="G15" s="399"/>
      <c r="H15" s="6"/>
      <c r="I15" s="137" t="s">
        <v>10</v>
      </c>
      <c r="J15" s="138">
        <v>0.9</v>
      </c>
      <c r="K15" s="162"/>
      <c r="L15" s="176" t="s">
        <v>224</v>
      </c>
      <c r="M15" s="177">
        <v>3.5999999999999997E-2</v>
      </c>
      <c r="N15" s="12"/>
      <c r="O15" s="6"/>
      <c r="P15" s="14"/>
      <c r="Q15" s="309"/>
      <c r="R15" s="21" t="s">
        <v>45</v>
      </c>
      <c r="S15" s="266">
        <f>(1000/(J17/J10))*J15*J8*G10*G7*G8*J18*G9*G18*(1/G36)</f>
        <v>0.35024846521058212</v>
      </c>
      <c r="T15" s="326">
        <f>(((1000/(J17/J10))*G14)/U36)*J18*J8</f>
        <v>2.0125546178656074E-2</v>
      </c>
      <c r="U15" s="326"/>
      <c r="V15" s="262">
        <f>S15+T15</f>
        <v>0.3703740113892382</v>
      </c>
      <c r="W15" s="192">
        <f>1000/V15</f>
        <v>2699.9734572333887</v>
      </c>
      <c r="X15" s="14"/>
      <c r="Y15" s="14"/>
      <c r="Z15" s="14"/>
      <c r="AA15" s="14"/>
      <c r="AB15" s="14"/>
      <c r="AC15" s="14"/>
      <c r="AD15" s="14"/>
      <c r="AE15" s="14"/>
      <c r="AF15" s="14"/>
      <c r="AG15" s="14"/>
      <c r="AH15" s="14"/>
      <c r="AI15" s="14"/>
      <c r="AJ15" s="14"/>
      <c r="AK15" s="14"/>
      <c r="AL15" s="14"/>
      <c r="AM15" s="14"/>
      <c r="AN15" s="14"/>
      <c r="AO15" s="14"/>
      <c r="AP15" s="14"/>
      <c r="AR15">
        <f t="shared" si="1"/>
        <v>11</v>
      </c>
      <c r="AS15" s="85">
        <f t="shared" si="5"/>
        <v>144</v>
      </c>
      <c r="AT15" s="85"/>
      <c r="AU15" s="85">
        <f t="shared" si="2"/>
        <v>14.4</v>
      </c>
      <c r="AV15" s="85">
        <f t="shared" si="6"/>
        <v>144</v>
      </c>
      <c r="AW15">
        <f>IF(ISNUMBER(AR16),SUM(AT15:AU15),SUM(AT15:AV15))</f>
        <v>14.4</v>
      </c>
      <c r="AX15" s="86">
        <f t="shared" si="0"/>
        <v>4.9136521427080027E-2</v>
      </c>
      <c r="AY15">
        <f t="shared" si="4"/>
        <v>2.8729106416165648E-2</v>
      </c>
      <c r="AZ15"/>
    </row>
    <row r="16" spans="1:53" ht="21" customHeight="1">
      <c r="A16" s="14"/>
      <c r="B16" s="357"/>
      <c r="C16" s="353" t="s">
        <v>19</v>
      </c>
      <c r="D16" s="360">
        <v>0.80400000000000005</v>
      </c>
      <c r="E16" s="3"/>
      <c r="F16" s="353" t="s">
        <v>303</v>
      </c>
      <c r="G16" s="396">
        <v>25</v>
      </c>
      <c r="H16" s="6"/>
      <c r="I16" s="132" t="s">
        <v>28</v>
      </c>
      <c r="J16" s="130">
        <v>0.15</v>
      </c>
      <c r="K16" s="163"/>
      <c r="L16" s="6"/>
      <c r="M16" s="6"/>
      <c r="N16" s="12"/>
      <c r="O16" s="6"/>
      <c r="P16" s="14"/>
      <c r="Q16" s="309"/>
      <c r="R16" s="21" t="s">
        <v>210</v>
      </c>
      <c r="S16" s="367">
        <f>(1000/(M7/M10))*M9*M8*(1/V36)*W36*M12*M14*M11*(M15/D36)*M13*G10</f>
        <v>0.44524173913043469</v>
      </c>
      <c r="T16" s="367"/>
      <c r="U16" s="263">
        <v>0</v>
      </c>
      <c r="V16" s="262">
        <f>S16+U16</f>
        <v>0.44524173913043469</v>
      </c>
      <c r="W16" s="192">
        <f>1000/V16</f>
        <v>2245.9709234651236</v>
      </c>
      <c r="X16" s="14"/>
      <c r="Y16" s="14"/>
      <c r="Z16" s="14"/>
      <c r="AA16" s="14"/>
      <c r="AB16" s="14"/>
      <c r="AC16" s="14"/>
      <c r="AD16" s="14"/>
      <c r="AE16" s="14"/>
      <c r="AF16" s="14"/>
      <c r="AG16" s="14"/>
      <c r="AH16" s="14"/>
      <c r="AI16" s="14"/>
      <c r="AJ16" s="14"/>
      <c r="AK16" s="14"/>
      <c r="AL16" s="14"/>
      <c r="AM16" s="14"/>
      <c r="AN16" s="14"/>
      <c r="AO16" s="14"/>
      <c r="AP16" s="14"/>
      <c r="AR16">
        <f t="shared" si="1"/>
        <v>12</v>
      </c>
      <c r="AS16" s="85">
        <f t="shared" si="5"/>
        <v>144</v>
      </c>
      <c r="AT16" s="85"/>
      <c r="AU16" s="85">
        <f t="shared" si="2"/>
        <v>14.4</v>
      </c>
      <c r="AV16" s="85">
        <f t="shared" si="6"/>
        <v>144</v>
      </c>
      <c r="AW16">
        <f t="shared" ref="AW16:AW80" si="7">IF(ISNUMBER(AR17),SUM(AT16:AU16),SUM(AT16:AV16))</f>
        <v>14.4</v>
      </c>
      <c r="AX16" s="86">
        <f t="shared" si="0"/>
        <v>4.9136521427080027E-2</v>
      </c>
      <c r="AY16">
        <f t="shared" si="4"/>
        <v>2.7361053729681575E-2</v>
      </c>
      <c r="AZ16"/>
    </row>
    <row r="17" spans="1:53" ht="31.75" customHeight="1">
      <c r="A17" s="14"/>
      <c r="B17" s="357"/>
      <c r="C17" s="362"/>
      <c r="D17" s="361"/>
      <c r="E17" s="3"/>
      <c r="F17" s="354"/>
      <c r="G17" s="397"/>
      <c r="H17" s="6"/>
      <c r="I17" s="133" t="s">
        <v>7</v>
      </c>
      <c r="J17" s="131">
        <v>1.23</v>
      </c>
      <c r="K17" s="163"/>
      <c r="L17" s="14"/>
      <c r="M17" s="14"/>
      <c r="N17" s="12"/>
      <c r="O17" s="6"/>
      <c r="P17" s="14"/>
      <c r="Q17" s="15"/>
      <c r="R17" s="6"/>
      <c r="S17" s="6"/>
      <c r="T17" s="6"/>
      <c r="U17" s="6"/>
      <c r="V17" s="6"/>
      <c r="W17" s="12"/>
      <c r="X17" s="14"/>
      <c r="Y17" s="14"/>
      <c r="Z17" s="14"/>
      <c r="AA17" s="14"/>
      <c r="AB17" s="14"/>
      <c r="AC17" s="14"/>
      <c r="AD17" s="14"/>
      <c r="AE17" s="14"/>
      <c r="AF17" s="14"/>
      <c r="AG17" s="14"/>
      <c r="AH17" s="14"/>
      <c r="AI17" s="14"/>
      <c r="AJ17" s="14"/>
      <c r="AK17" s="14"/>
      <c r="AL17" s="14"/>
      <c r="AM17" s="14"/>
      <c r="AN17" s="14"/>
      <c r="AO17" s="14"/>
      <c r="AP17" s="14"/>
      <c r="AR17">
        <f>IF(AR16&lt;$D$14,AR16+1,"")</f>
        <v>13</v>
      </c>
      <c r="AS17" s="85">
        <f>IF(ISNUMBER(AR17),AV16,0)</f>
        <v>144</v>
      </c>
      <c r="AT17" s="85"/>
      <c r="AU17" s="85">
        <f t="shared" si="2"/>
        <v>14.4</v>
      </c>
      <c r="AV17" s="85">
        <f t="shared" si="6"/>
        <v>144</v>
      </c>
      <c r="AW17">
        <f>IF(ISNUMBER(AR18),SUM(AT17:AU17),SUM(AT17:AV17))</f>
        <v>14.4</v>
      </c>
      <c r="AX17" s="86">
        <f t="shared" si="0"/>
        <v>4.9136521427080027E-2</v>
      </c>
      <c r="AY17">
        <f t="shared" si="4"/>
        <v>2.605814640922054E-2</v>
      </c>
      <c r="AZ17"/>
    </row>
    <row r="18" spans="1:53" ht="30.5" customHeight="1">
      <c r="A18" s="14"/>
      <c r="B18" s="357"/>
      <c r="C18" s="6"/>
      <c r="D18" s="6"/>
      <c r="E18" s="3"/>
      <c r="F18" s="150" t="s">
        <v>254</v>
      </c>
      <c r="G18" s="147">
        <v>0.3</v>
      </c>
      <c r="H18" s="6"/>
      <c r="I18" s="146" t="s">
        <v>131</v>
      </c>
      <c r="J18" s="145">
        <v>1</v>
      </c>
      <c r="K18" s="162"/>
      <c r="L18" s="14"/>
      <c r="M18" s="14"/>
      <c r="N18" s="12"/>
      <c r="O18" s="6"/>
      <c r="P18" s="6"/>
      <c r="Q18" s="309" t="s">
        <v>240</v>
      </c>
      <c r="R18" s="259" t="s">
        <v>179</v>
      </c>
      <c r="S18" s="259" t="s">
        <v>35</v>
      </c>
      <c r="T18" s="319" t="s">
        <v>36</v>
      </c>
      <c r="U18" s="319"/>
      <c r="V18" s="319" t="s">
        <v>34</v>
      </c>
      <c r="W18" s="324"/>
      <c r="X18" s="14"/>
      <c r="Y18" s="14"/>
      <c r="Z18" s="14"/>
      <c r="AA18" s="14"/>
      <c r="AB18" s="14"/>
      <c r="AC18" s="14"/>
      <c r="AD18" s="14"/>
      <c r="AE18" s="14"/>
      <c r="AF18" s="14"/>
      <c r="AG18" s="14"/>
      <c r="AH18" s="14"/>
      <c r="AI18" s="14"/>
      <c r="AJ18" s="14"/>
      <c r="AK18" s="14"/>
      <c r="AL18" s="14"/>
      <c r="AM18" s="14"/>
      <c r="AN18" s="14"/>
      <c r="AO18" s="14"/>
      <c r="AP18" s="14"/>
      <c r="AR18">
        <f>IF(AR17&lt;$D$14,AR17+1,"")</f>
        <v>14</v>
      </c>
      <c r="AS18" s="85">
        <f>IF(ISNUMBER(AR18),AV17,0)</f>
        <v>144</v>
      </c>
      <c r="AT18" s="85"/>
      <c r="AU18" s="85">
        <f t="shared" si="2"/>
        <v>14.4</v>
      </c>
      <c r="AV18" s="85">
        <f t="shared" si="6"/>
        <v>144</v>
      </c>
      <c r="AW18">
        <f>IF(ISNUMBER(AR19),SUM(AT18:AU18),SUM(AT18:AV18))</f>
        <v>14.4</v>
      </c>
      <c r="AX18" s="86">
        <f t="shared" si="0"/>
        <v>4.9136521427080027E-2</v>
      </c>
      <c r="AY18">
        <f t="shared" si="4"/>
        <v>2.4817282294495761E-2</v>
      </c>
      <c r="AZ18"/>
    </row>
    <row r="19" spans="1:53" ht="10.25" customHeight="1" thickBot="1">
      <c r="A19" s="14"/>
      <c r="B19" s="141"/>
      <c r="C19" s="7"/>
      <c r="D19" s="7"/>
      <c r="E19" s="7"/>
      <c r="F19" s="142"/>
      <c r="G19" s="143"/>
      <c r="H19" s="7"/>
      <c r="I19" s="7"/>
      <c r="J19" s="7"/>
      <c r="K19" s="7"/>
      <c r="L19" s="172"/>
      <c r="M19" s="7"/>
      <c r="N19" s="144"/>
      <c r="O19" s="6"/>
      <c r="P19" s="14"/>
      <c r="Q19" s="321"/>
      <c r="R19" s="260">
        <f>AZ5</f>
        <v>0.69843297965683127</v>
      </c>
      <c r="S19" s="260">
        <f>AY4</f>
        <v>0.407887093456063</v>
      </c>
      <c r="T19" s="320">
        <f>R19+S19</f>
        <v>1.1063200731128942</v>
      </c>
      <c r="U19" s="320"/>
      <c r="V19" s="322">
        <f>T19/(Ben!Q36/Ben!D16)</f>
        <v>3.088476870773496E-3</v>
      </c>
      <c r="W19" s="323"/>
      <c r="X19" s="14"/>
      <c r="Y19" s="14"/>
      <c r="Z19" s="14"/>
      <c r="AA19" s="14"/>
      <c r="AB19" s="14"/>
      <c r="AC19" s="14"/>
      <c r="AD19" s="14"/>
      <c r="AE19" s="14"/>
      <c r="AF19" s="14"/>
      <c r="AG19" s="14"/>
      <c r="AH19" s="14"/>
      <c r="AI19" s="14"/>
      <c r="AJ19" s="14"/>
      <c r="AK19" s="14"/>
      <c r="AL19" s="14"/>
      <c r="AM19" s="14"/>
      <c r="AN19" s="14"/>
      <c r="AO19" s="14"/>
      <c r="AP19" s="14"/>
      <c r="AR19">
        <f>IF(AR18&lt;$D$14,AR18+1,"")</f>
        <v>15</v>
      </c>
      <c r="AS19" s="85">
        <f>IF(ISNUMBER(AR19),AV18,0)</f>
        <v>144</v>
      </c>
      <c r="AT19" s="85"/>
      <c r="AU19" s="85">
        <f t="shared" si="2"/>
        <v>14.4</v>
      </c>
      <c r="AV19" s="85">
        <f t="shared" si="6"/>
        <v>144</v>
      </c>
      <c r="AW19">
        <f t="shared" si="7"/>
        <v>158.4</v>
      </c>
      <c r="AX19" s="86">
        <f t="shared" si="0"/>
        <v>0.44083297214737094</v>
      </c>
      <c r="AY19">
        <f t="shared" si="4"/>
        <v>0.21204819700514585</v>
      </c>
      <c r="AZ19"/>
    </row>
    <row r="20" spans="1:53" ht="9.5" customHeight="1" thickBot="1">
      <c r="A20" s="14"/>
      <c r="B20" s="14"/>
      <c r="C20" s="14"/>
      <c r="D20" s="14"/>
      <c r="E20" s="14"/>
      <c r="F20" s="14"/>
      <c r="G20" s="14"/>
      <c r="H20" s="14"/>
      <c r="I20" s="14"/>
      <c r="J20" s="14"/>
      <c r="K20" s="14"/>
      <c r="L20" s="14"/>
      <c r="M20" s="14"/>
      <c r="N20" s="14"/>
      <c r="O20" s="14"/>
      <c r="P20" s="14"/>
      <c r="Q20" s="6"/>
      <c r="R20" s="6"/>
      <c r="S20" s="6"/>
      <c r="T20" s="6"/>
      <c r="U20" s="6"/>
      <c r="V20" s="6"/>
      <c r="W20" s="6"/>
      <c r="X20" s="14"/>
      <c r="Y20" s="14"/>
      <c r="Z20" s="14"/>
      <c r="AA20" s="14"/>
      <c r="AB20" s="14"/>
      <c r="AC20" s="14"/>
      <c r="AD20" s="14"/>
      <c r="AE20" s="14"/>
      <c r="AF20" s="14"/>
      <c r="AG20" s="14"/>
      <c r="AH20" s="14"/>
      <c r="AI20" s="14"/>
      <c r="AJ20" s="14"/>
      <c r="AK20" s="14"/>
      <c r="AL20" s="14"/>
      <c r="AM20" s="14"/>
      <c r="AN20" s="14"/>
      <c r="AO20" s="14"/>
      <c r="AP20" s="14"/>
      <c r="AR20" t="str">
        <f t="shared" si="1"/>
        <v/>
      </c>
      <c r="AS20" s="85">
        <f t="shared" si="5"/>
        <v>0</v>
      </c>
      <c r="AT20" s="85"/>
      <c r="AU20" s="85">
        <f t="shared" si="2"/>
        <v>0</v>
      </c>
      <c r="AV20" s="85">
        <f t="shared" si="6"/>
        <v>0</v>
      </c>
      <c r="AW20">
        <f t="shared" si="7"/>
        <v>0</v>
      </c>
      <c r="AX20" s="86">
        <f t="shared" si="0"/>
        <v>0</v>
      </c>
      <c r="AY20">
        <f t="shared" si="4"/>
        <v>0</v>
      </c>
      <c r="AZ20"/>
    </row>
    <row r="21" spans="1:53" ht="10.25" customHeight="1">
      <c r="A21" s="14"/>
      <c r="B21" s="14"/>
      <c r="C21" s="14"/>
      <c r="D21" s="14"/>
      <c r="E21" s="6"/>
      <c r="F21" s="384" t="s">
        <v>34</v>
      </c>
      <c r="G21" s="28" t="s">
        <v>33</v>
      </c>
      <c r="H21" s="29"/>
      <c r="I21" s="30">
        <f>T9</f>
        <v>2.8746361435936486E-2</v>
      </c>
      <c r="J21" s="31"/>
      <c r="K21" s="31"/>
      <c r="L21" s="31"/>
      <c r="M21" s="31"/>
      <c r="N21" s="32"/>
      <c r="O21" s="36"/>
      <c r="P21" s="6"/>
      <c r="Q21" s="181"/>
      <c r="R21" s="381" t="s">
        <v>301</v>
      </c>
      <c r="S21" s="331"/>
      <c r="T21" s="96"/>
      <c r="U21" s="377" t="s">
        <v>37</v>
      </c>
      <c r="V21" s="377"/>
      <c r="W21" s="378"/>
      <c r="X21" s="14"/>
      <c r="Y21" s="14"/>
      <c r="Z21" s="14"/>
      <c r="AA21" s="14"/>
      <c r="AB21" s="14"/>
      <c r="AC21" s="14"/>
      <c r="AD21" s="14"/>
      <c r="AE21" s="14"/>
      <c r="AF21" s="14"/>
      <c r="AG21" s="14"/>
      <c r="AH21" s="14"/>
      <c r="AI21" s="14"/>
      <c r="AJ21" s="14"/>
      <c r="AK21" s="14"/>
      <c r="AL21" s="14"/>
      <c r="AM21" s="14"/>
      <c r="AN21" s="14"/>
      <c r="AO21" s="14"/>
      <c r="AP21" s="14"/>
      <c r="AR21" t="str">
        <f t="shared" si="1"/>
        <v/>
      </c>
      <c r="AS21" s="85">
        <f t="shared" si="5"/>
        <v>0</v>
      </c>
      <c r="AT21" s="85"/>
      <c r="AU21" s="85">
        <f t="shared" si="2"/>
        <v>0</v>
      </c>
      <c r="AV21" s="85">
        <f t="shared" si="6"/>
        <v>0</v>
      </c>
      <c r="AW21">
        <f t="shared" si="7"/>
        <v>0</v>
      </c>
      <c r="AX21" s="86">
        <f t="shared" si="0"/>
        <v>0</v>
      </c>
      <c r="AY21">
        <f t="shared" si="4"/>
        <v>0</v>
      </c>
      <c r="AZ21"/>
    </row>
    <row r="22" spans="1:53" ht="12" customHeight="1" thickBot="1">
      <c r="A22" s="14"/>
      <c r="B22" s="14"/>
      <c r="C22" s="14"/>
      <c r="D22" s="14"/>
      <c r="E22" s="6"/>
      <c r="F22" s="368"/>
      <c r="G22" s="33" t="s">
        <v>32</v>
      </c>
      <c r="H22" s="34"/>
      <c r="I22" s="35">
        <f>T10</f>
        <v>9.5207225903379111E-3</v>
      </c>
      <c r="J22" s="36"/>
      <c r="K22" s="36"/>
      <c r="L22" s="36"/>
      <c r="M22" s="36"/>
      <c r="N22" s="37"/>
      <c r="O22" s="36"/>
      <c r="P22" s="6"/>
      <c r="Q22" s="193"/>
      <c r="R22" s="309"/>
      <c r="S22" s="383"/>
      <c r="T22" s="97"/>
      <c r="U22" s="379"/>
      <c r="V22" s="379"/>
      <c r="W22" s="380"/>
      <c r="X22" s="14"/>
      <c r="Y22" s="83"/>
      <c r="Z22" s="14"/>
      <c r="AA22" s="14"/>
      <c r="AB22" s="14"/>
      <c r="AC22" s="14"/>
      <c r="AD22" s="14"/>
      <c r="AE22" s="14"/>
      <c r="AF22" s="14"/>
      <c r="AG22" s="14"/>
      <c r="AH22" s="14"/>
      <c r="AI22" s="14"/>
      <c r="AJ22" s="14"/>
      <c r="AK22" s="14"/>
      <c r="AL22" s="14"/>
      <c r="AM22" s="14"/>
      <c r="AN22" s="14"/>
      <c r="AO22" s="14"/>
      <c r="AP22" s="14"/>
      <c r="AR22" t="str">
        <f t="shared" si="1"/>
        <v/>
      </c>
      <c r="AS22" s="85">
        <f t="shared" si="5"/>
        <v>0</v>
      </c>
      <c r="AT22" s="85"/>
      <c r="AU22" s="85">
        <f t="shared" si="2"/>
        <v>0</v>
      </c>
      <c r="AV22" s="85">
        <f t="shared" si="6"/>
        <v>0</v>
      </c>
      <c r="AW22">
        <f t="shared" si="7"/>
        <v>0</v>
      </c>
      <c r="AX22" s="86">
        <f t="shared" si="0"/>
        <v>0</v>
      </c>
      <c r="AY22">
        <f t="shared" si="4"/>
        <v>0</v>
      </c>
      <c r="AZ22"/>
    </row>
    <row r="23" spans="1:53" ht="10.75" customHeight="1">
      <c r="A23" s="14"/>
      <c r="B23" s="313" t="s">
        <v>234</v>
      </c>
      <c r="C23" s="349"/>
      <c r="D23" s="349"/>
      <c r="E23" s="349"/>
      <c r="F23" s="368"/>
      <c r="G23" s="33" t="s">
        <v>210</v>
      </c>
      <c r="H23" s="34"/>
      <c r="I23" s="35">
        <f>T11</f>
        <v>1.0233996379782173E-2</v>
      </c>
      <c r="J23" s="36"/>
      <c r="K23" s="36"/>
      <c r="L23" s="36"/>
      <c r="M23" s="36"/>
      <c r="N23" s="37"/>
      <c r="O23" s="36"/>
      <c r="P23" s="6"/>
      <c r="Q23" s="181"/>
      <c r="R23" s="84" t="s">
        <v>44</v>
      </c>
      <c r="S23" s="46">
        <f>W24/W23</f>
        <v>6.9968042798890062</v>
      </c>
      <c r="T23" s="98"/>
      <c r="U23" s="45" t="s">
        <v>38</v>
      </c>
      <c r="V23" s="45"/>
      <c r="W23" s="47">
        <f>(R36/S36)*T5</f>
        <v>13.710306742341514</v>
      </c>
      <c r="X23" s="14"/>
      <c r="Y23" s="83"/>
      <c r="Z23" s="14"/>
      <c r="AA23" s="14"/>
      <c r="AB23" s="14"/>
      <c r="AC23" s="14"/>
      <c r="AD23" s="14"/>
      <c r="AE23" s="14"/>
      <c r="AF23" s="14"/>
      <c r="AG23" s="14"/>
      <c r="AH23" s="14"/>
      <c r="AI23" s="14"/>
      <c r="AJ23" s="14"/>
      <c r="AK23" s="14"/>
      <c r="AL23" s="14"/>
      <c r="AM23" s="14"/>
      <c r="AN23" s="14"/>
      <c r="AO23" s="14"/>
      <c r="AP23" s="14"/>
      <c r="AR23" t="str">
        <f t="shared" si="1"/>
        <v/>
      </c>
      <c r="AS23" s="85">
        <f t="shared" si="5"/>
        <v>0</v>
      </c>
      <c r="AT23" s="85"/>
      <c r="AU23" s="85">
        <f t="shared" si="2"/>
        <v>0</v>
      </c>
      <c r="AV23" s="85">
        <f t="shared" si="6"/>
        <v>0</v>
      </c>
      <c r="AW23">
        <f t="shared" si="7"/>
        <v>0</v>
      </c>
      <c r="AX23" s="86">
        <f t="shared" si="0"/>
        <v>0</v>
      </c>
      <c r="AY23">
        <f t="shared" si="4"/>
        <v>0</v>
      </c>
      <c r="AZ23"/>
    </row>
    <row r="24" spans="1:53" ht="12.5" customHeight="1" thickBot="1">
      <c r="A24" s="14"/>
      <c r="B24" s="350"/>
      <c r="C24" s="351"/>
      <c r="D24" s="351"/>
      <c r="E24" s="351"/>
      <c r="F24" s="368"/>
      <c r="G24" s="33" t="s">
        <v>14</v>
      </c>
      <c r="H24" s="34"/>
      <c r="I24" s="35">
        <f>Ben!V19</f>
        <v>3.088476870773496E-3</v>
      </c>
      <c r="J24" s="36"/>
      <c r="K24" s="36"/>
      <c r="L24" s="36"/>
      <c r="M24" s="36"/>
      <c r="N24" s="37"/>
      <c r="O24" s="36"/>
      <c r="P24" s="6"/>
      <c r="Q24" s="193"/>
      <c r="R24" s="84" t="s">
        <v>32</v>
      </c>
      <c r="S24" s="46">
        <f>W25/W23</f>
        <v>2.3173239756331654</v>
      </c>
      <c r="T24" s="98"/>
      <c r="U24" s="45" t="s">
        <v>39</v>
      </c>
      <c r="V24" s="45"/>
      <c r="W24" s="47">
        <f>T9*R36</f>
        <v>95.928332893406207</v>
      </c>
      <c r="X24" s="14"/>
      <c r="Y24" s="6"/>
      <c r="Z24" s="14"/>
      <c r="AA24" s="14"/>
      <c r="AB24" s="14"/>
      <c r="AC24" s="14"/>
      <c r="AD24" s="14"/>
      <c r="AE24" s="14"/>
      <c r="AF24" s="14"/>
      <c r="AG24" s="14"/>
      <c r="AH24" s="14"/>
      <c r="AI24" s="14"/>
      <c r="AJ24" s="14"/>
      <c r="AK24" s="14"/>
      <c r="AL24" s="14"/>
      <c r="AM24" s="14"/>
      <c r="AN24" s="14"/>
      <c r="AO24" s="14"/>
      <c r="AP24" s="14"/>
      <c r="AR24" t="str">
        <f t="shared" si="1"/>
        <v/>
      </c>
      <c r="AS24" s="85">
        <f t="shared" si="5"/>
        <v>0</v>
      </c>
      <c r="AT24" s="85"/>
      <c r="AU24" s="85">
        <f t="shared" si="2"/>
        <v>0</v>
      </c>
      <c r="AV24" s="85">
        <f t="shared" si="6"/>
        <v>0</v>
      </c>
      <c r="AW24">
        <f>IF(ISNUMBER(AR25),SUM(AT24:AU24),SUM(AT24:AV24))</f>
        <v>0</v>
      </c>
      <c r="AX24" s="86">
        <f t="shared" si="0"/>
        <v>0</v>
      </c>
      <c r="AY24">
        <f t="shared" si="4"/>
        <v>0</v>
      </c>
      <c r="AZ24"/>
    </row>
    <row r="25" spans="1:53" ht="14.5" customHeight="1">
      <c r="A25" s="14"/>
      <c r="B25" s="350"/>
      <c r="C25" s="351"/>
      <c r="D25" s="351"/>
      <c r="E25" s="351"/>
      <c r="F25" s="38" t="s">
        <v>48</v>
      </c>
      <c r="G25" s="39"/>
      <c r="H25" s="39"/>
      <c r="I25" s="40">
        <f>Ben!V19*J36</f>
        <v>0.88305730689155804</v>
      </c>
      <c r="J25" s="36"/>
      <c r="K25" s="36"/>
      <c r="L25" s="36"/>
      <c r="M25" s="36"/>
      <c r="N25" s="37"/>
      <c r="O25" s="36"/>
      <c r="P25" s="6"/>
      <c r="Q25" s="372" t="s">
        <v>235</v>
      </c>
      <c r="R25" s="84" t="s">
        <v>210</v>
      </c>
      <c r="S25" s="46">
        <f>W27/W23</f>
        <v>2.490933324901186</v>
      </c>
      <c r="T25" s="22"/>
      <c r="U25" s="45" t="s">
        <v>32</v>
      </c>
      <c r="V25" s="45"/>
      <c r="W25" s="47">
        <f>T10*R36</f>
        <v>31.771222527313029</v>
      </c>
      <c r="X25" s="6"/>
      <c r="Y25" s="6"/>
      <c r="Z25" s="14"/>
      <c r="AA25" s="14"/>
      <c r="AB25" s="14"/>
      <c r="AC25" s="14"/>
      <c r="AD25" s="14"/>
      <c r="AE25" s="14"/>
      <c r="AF25" s="14"/>
      <c r="AG25" s="14"/>
      <c r="AH25" s="14"/>
      <c r="AI25" s="14"/>
      <c r="AJ25" s="14"/>
      <c r="AK25" s="14"/>
      <c r="AL25" s="14"/>
      <c r="AM25" s="14"/>
      <c r="AN25" s="14"/>
      <c r="AO25" s="14"/>
      <c r="AP25" s="14"/>
      <c r="AR25" t="str">
        <f>IF(AR24&lt;$D$14,AR24+1,"")</f>
        <v/>
      </c>
      <c r="AS25" s="85">
        <f>IF(ISNUMBER(AR25),AV24,0)</f>
        <v>0</v>
      </c>
      <c r="AT25" s="85"/>
      <c r="AU25" s="85">
        <f t="shared" si="2"/>
        <v>0</v>
      </c>
      <c r="AV25" s="85">
        <f t="shared" si="6"/>
        <v>0</v>
      </c>
      <c r="AW25">
        <f t="shared" si="7"/>
        <v>0</v>
      </c>
      <c r="AX25" s="86">
        <f t="shared" si="0"/>
        <v>0</v>
      </c>
      <c r="AY25">
        <f t="shared" si="4"/>
        <v>0</v>
      </c>
      <c r="AZ25"/>
    </row>
    <row r="26" spans="1:53" ht="12" customHeight="1" thickBot="1">
      <c r="A26" s="14"/>
      <c r="B26" s="315"/>
      <c r="C26" s="352"/>
      <c r="D26" s="352"/>
      <c r="E26" s="352"/>
      <c r="F26" s="15"/>
      <c r="G26" s="6"/>
      <c r="H26" s="6"/>
      <c r="I26" s="6"/>
      <c r="J26" s="6"/>
      <c r="K26" s="6"/>
      <c r="L26" s="6"/>
      <c r="M26" s="6"/>
      <c r="N26" s="12"/>
      <c r="O26" s="36"/>
      <c r="P26" s="6"/>
      <c r="Q26" s="373"/>
      <c r="R26" s="15"/>
      <c r="S26" s="6"/>
      <c r="T26" s="6"/>
      <c r="U26" s="45" t="s">
        <v>14</v>
      </c>
      <c r="V26" s="45"/>
      <c r="W26" s="47">
        <f>V19*R36</f>
        <v>10.306432626383403</v>
      </c>
      <c r="X26" s="14"/>
      <c r="Y26" s="14"/>
      <c r="Z26" s="14"/>
      <c r="AA26" s="14"/>
      <c r="AB26" s="14"/>
      <c r="AC26" s="14"/>
      <c r="AD26" s="14"/>
      <c r="AE26" s="14"/>
      <c r="AF26" s="14"/>
      <c r="AG26" s="14"/>
      <c r="AH26" s="14"/>
      <c r="AI26" s="14"/>
      <c r="AJ26" s="14"/>
      <c r="AK26" s="14"/>
      <c r="AL26" s="14"/>
      <c r="AM26" s="14"/>
      <c r="AN26" s="14"/>
      <c r="AO26" s="14"/>
      <c r="AP26" s="14"/>
      <c r="AR26" t="str">
        <f t="shared" si="1"/>
        <v/>
      </c>
      <c r="AS26" s="85">
        <f t="shared" si="5"/>
        <v>0</v>
      </c>
      <c r="AT26" s="85"/>
      <c r="AU26" s="85">
        <f t="shared" si="2"/>
        <v>0</v>
      </c>
      <c r="AV26" s="85">
        <f t="shared" si="6"/>
        <v>0</v>
      </c>
      <c r="AW26">
        <f t="shared" si="7"/>
        <v>0</v>
      </c>
      <c r="AX26" s="86">
        <f t="shared" si="0"/>
        <v>0</v>
      </c>
      <c r="AY26">
        <f t="shared" si="4"/>
        <v>0</v>
      </c>
      <c r="AZ26"/>
    </row>
    <row r="27" spans="1:53" ht="12.5" customHeight="1">
      <c r="A27" s="14"/>
      <c r="B27" s="14"/>
      <c r="C27" s="14"/>
      <c r="D27" s="14"/>
      <c r="E27" s="6"/>
      <c r="F27" s="41" t="s">
        <v>41</v>
      </c>
      <c r="G27" s="42">
        <f>I21/I24</f>
        <v>9.3076175211042074</v>
      </c>
      <c r="H27" s="43" t="s">
        <v>42</v>
      </c>
      <c r="I27" s="39"/>
      <c r="J27" s="39"/>
      <c r="K27" s="39"/>
      <c r="L27" s="39"/>
      <c r="M27" s="39"/>
      <c r="N27" s="44"/>
      <c r="O27" s="36"/>
      <c r="P27" s="6"/>
      <c r="Q27" s="373"/>
      <c r="R27" s="15"/>
      <c r="S27" s="6"/>
      <c r="T27" s="6"/>
      <c r="U27" s="45" t="s">
        <v>210</v>
      </c>
      <c r="V27" s="45"/>
      <c r="W27" s="47">
        <f>T11*R36</f>
        <v>34.151459959115897</v>
      </c>
      <c r="X27" s="14"/>
      <c r="Y27" s="14"/>
      <c r="Z27" s="14"/>
      <c r="AA27" s="14"/>
      <c r="AB27" s="14"/>
      <c r="AC27" s="14"/>
      <c r="AD27" s="14"/>
      <c r="AE27" s="14"/>
      <c r="AF27" s="14"/>
      <c r="AG27" s="14"/>
      <c r="AH27" s="14"/>
      <c r="AI27" s="14"/>
      <c r="AJ27" s="14"/>
      <c r="AK27" s="14"/>
      <c r="AL27" s="14"/>
      <c r="AM27" s="14"/>
      <c r="AN27" s="14"/>
      <c r="AO27" s="14"/>
      <c r="AP27" s="14"/>
      <c r="AR27" t="str">
        <f t="shared" si="1"/>
        <v/>
      </c>
      <c r="AS27" s="85">
        <f t="shared" si="5"/>
        <v>0</v>
      </c>
      <c r="AT27" s="85"/>
      <c r="AU27" s="85">
        <f t="shared" si="2"/>
        <v>0</v>
      </c>
      <c r="AV27" s="85">
        <f t="shared" si="6"/>
        <v>0</v>
      </c>
      <c r="AW27">
        <f t="shared" si="7"/>
        <v>0</v>
      </c>
      <c r="AX27" s="86">
        <f t="shared" si="0"/>
        <v>0</v>
      </c>
      <c r="AY27">
        <f t="shared" si="4"/>
        <v>0</v>
      </c>
      <c r="AZ27" s="117"/>
      <c r="BA27" s="14"/>
    </row>
    <row r="28" spans="1:53" s="14" customFormat="1" ht="14.5" customHeight="1" thickBot="1">
      <c r="E28" s="6"/>
      <c r="F28" s="41" t="s">
        <v>43</v>
      </c>
      <c r="G28" s="42">
        <f>I22/I24</f>
        <v>3.0826595078089372</v>
      </c>
      <c r="H28" s="43" t="s">
        <v>42</v>
      </c>
      <c r="I28" s="39"/>
      <c r="J28" s="39"/>
      <c r="K28" s="39"/>
      <c r="L28" s="39"/>
      <c r="M28" s="39"/>
      <c r="N28" s="44"/>
      <c r="O28" s="36"/>
      <c r="P28" s="6"/>
      <c r="Q28" s="374"/>
      <c r="R28" s="15"/>
      <c r="S28" s="6"/>
      <c r="T28" s="6"/>
      <c r="U28" s="6"/>
      <c r="V28" s="6"/>
      <c r="W28" s="12"/>
      <c r="AR28" t="str">
        <f t="shared" si="1"/>
        <v/>
      </c>
      <c r="AS28" s="85">
        <f t="shared" si="5"/>
        <v>0</v>
      </c>
      <c r="AT28" s="85"/>
      <c r="AU28" s="85">
        <f t="shared" si="2"/>
        <v>0</v>
      </c>
      <c r="AV28" s="85">
        <f t="shared" si="6"/>
        <v>0</v>
      </c>
      <c r="AW28">
        <f t="shared" si="7"/>
        <v>0</v>
      </c>
      <c r="AX28" s="86">
        <f t="shared" si="0"/>
        <v>0</v>
      </c>
      <c r="AY28">
        <f t="shared" si="4"/>
        <v>0</v>
      </c>
      <c r="AZ28"/>
      <c r="BA28" s="1"/>
    </row>
    <row r="29" spans="1:53" ht="13.75" customHeight="1">
      <c r="A29" s="14"/>
      <c r="B29" s="14"/>
      <c r="C29" s="14"/>
      <c r="D29" s="14"/>
      <c r="E29" s="6"/>
      <c r="F29" s="41" t="s">
        <v>228</v>
      </c>
      <c r="G29" s="42">
        <f>I23/I24</f>
        <v>3.3136062881439394</v>
      </c>
      <c r="H29" s="43" t="s">
        <v>42</v>
      </c>
      <c r="I29" s="39"/>
      <c r="J29" s="39"/>
      <c r="K29" s="39"/>
      <c r="L29" s="39"/>
      <c r="M29" s="39"/>
      <c r="N29" s="44"/>
      <c r="O29" s="36"/>
      <c r="P29" s="6"/>
      <c r="Q29" s="193"/>
      <c r="R29" s="375" t="s">
        <v>231</v>
      </c>
      <c r="S29" s="376"/>
      <c r="T29" s="376"/>
      <c r="U29" s="376"/>
      <c r="V29" s="376"/>
      <c r="W29" s="100">
        <f>W24-W23</f>
        <v>82.218026151064691</v>
      </c>
      <c r="X29" s="14"/>
      <c r="Y29" s="14"/>
      <c r="Z29" s="14"/>
      <c r="AA29" s="14"/>
      <c r="AB29" s="14"/>
      <c r="AC29" s="14"/>
      <c r="AD29" s="14"/>
      <c r="AE29" s="14"/>
      <c r="AF29" s="14"/>
      <c r="AG29" s="14"/>
      <c r="AH29" s="14"/>
      <c r="AI29" s="14"/>
      <c r="AJ29" s="14"/>
      <c r="AK29" s="14"/>
      <c r="AL29" s="14"/>
      <c r="AM29" s="14"/>
      <c r="AN29" s="14"/>
      <c r="AO29" s="14"/>
      <c r="AP29" s="14"/>
      <c r="AR29" t="str">
        <f t="shared" si="1"/>
        <v/>
      </c>
      <c r="AS29" s="85">
        <f t="shared" si="5"/>
        <v>0</v>
      </c>
      <c r="AT29" s="85"/>
      <c r="AU29" s="85">
        <f t="shared" si="2"/>
        <v>0</v>
      </c>
      <c r="AV29" s="85">
        <f t="shared" si="6"/>
        <v>0</v>
      </c>
      <c r="AW29">
        <f t="shared" si="7"/>
        <v>0</v>
      </c>
      <c r="AX29" s="86">
        <f t="shared" si="0"/>
        <v>0</v>
      </c>
      <c r="AY29">
        <f t="shared" si="4"/>
        <v>0</v>
      </c>
      <c r="AZ29"/>
    </row>
    <row r="30" spans="1:53" ht="13.25" customHeight="1">
      <c r="A30" s="14"/>
      <c r="B30" s="14"/>
      <c r="C30" s="14"/>
      <c r="D30" s="14"/>
      <c r="E30" s="6"/>
      <c r="F30" s="15"/>
      <c r="G30" s="6"/>
      <c r="H30" s="6"/>
      <c r="I30" s="6"/>
      <c r="J30" s="36"/>
      <c r="K30" s="36"/>
      <c r="L30" s="36"/>
      <c r="M30" s="36"/>
      <c r="N30" s="37"/>
      <c r="O30" s="36"/>
      <c r="P30" s="6"/>
      <c r="Q30" s="193"/>
      <c r="R30" s="375" t="s">
        <v>230</v>
      </c>
      <c r="S30" s="376"/>
      <c r="T30" s="376"/>
      <c r="U30" s="376"/>
      <c r="V30" s="376"/>
      <c r="W30" s="100">
        <f>W25-W23</f>
        <v>18.060915784971513</v>
      </c>
      <c r="X30" s="14"/>
      <c r="Y30" s="14"/>
      <c r="Z30" s="14"/>
      <c r="AA30" s="14"/>
      <c r="AB30" s="14"/>
      <c r="AC30" s="14"/>
      <c r="AD30" s="14"/>
      <c r="AE30" s="14"/>
      <c r="AF30" s="14"/>
      <c r="AG30" s="14"/>
      <c r="AH30" s="14"/>
      <c r="AI30" s="14"/>
      <c r="AJ30" s="14"/>
      <c r="AK30" s="14"/>
      <c r="AL30" s="14"/>
      <c r="AM30" s="14"/>
      <c r="AN30" s="14"/>
      <c r="AO30" s="14"/>
      <c r="AP30" s="14"/>
      <c r="AR30" t="str">
        <f t="shared" si="1"/>
        <v/>
      </c>
      <c r="AS30" s="85">
        <f t="shared" si="5"/>
        <v>0</v>
      </c>
      <c r="AT30" s="85"/>
      <c r="AU30" s="85">
        <f t="shared" si="2"/>
        <v>0</v>
      </c>
      <c r="AV30" s="85">
        <f t="shared" si="6"/>
        <v>0</v>
      </c>
      <c r="AW30">
        <f>IF(ISNUMBER(AR33),SUM(AT30:AU30),SUM(AT30:AV30))</f>
        <v>0</v>
      </c>
      <c r="AX30" s="86">
        <f t="shared" si="0"/>
        <v>0</v>
      </c>
      <c r="AY30">
        <f t="shared" si="4"/>
        <v>0</v>
      </c>
      <c r="AZ30"/>
    </row>
    <row r="31" spans="1:53" ht="13.25" customHeight="1" thickBot="1">
      <c r="A31" s="14"/>
      <c r="B31" s="14"/>
      <c r="C31" s="14"/>
      <c r="D31" s="14"/>
      <c r="E31" s="6"/>
      <c r="F31" s="368" t="s">
        <v>184</v>
      </c>
      <c r="G31" s="33" t="s">
        <v>33</v>
      </c>
      <c r="H31" s="34"/>
      <c r="I31" s="40">
        <f>1000/V14</f>
        <v>885.22616107220426</v>
      </c>
      <c r="J31" s="36"/>
      <c r="K31" s="36"/>
      <c r="L31" s="36"/>
      <c r="M31" s="36"/>
      <c r="N31" s="37"/>
      <c r="O31" s="36"/>
      <c r="P31" s="6"/>
      <c r="Q31" s="194"/>
      <c r="R31" s="370" t="s">
        <v>229</v>
      </c>
      <c r="S31" s="371"/>
      <c r="T31" s="371"/>
      <c r="U31" s="371"/>
      <c r="V31" s="371"/>
      <c r="W31" s="101">
        <f>W27-W23</f>
        <v>20.441153216774381</v>
      </c>
      <c r="X31" s="14"/>
      <c r="Y31" s="14"/>
      <c r="Z31" s="14"/>
      <c r="AA31" s="14"/>
      <c r="AB31" s="14"/>
      <c r="AC31" s="14"/>
      <c r="AD31" s="14"/>
      <c r="AE31" s="14"/>
      <c r="AF31" s="14"/>
      <c r="AG31" s="14"/>
      <c r="AH31" s="14"/>
      <c r="AI31" s="14"/>
      <c r="AJ31" s="14"/>
      <c r="AK31" s="14"/>
      <c r="AL31" s="14"/>
      <c r="AM31" s="14"/>
      <c r="AN31" s="14"/>
      <c r="AO31" s="14"/>
      <c r="AP31" s="14"/>
      <c r="AR31"/>
      <c r="AS31" s="85"/>
      <c r="AT31" s="85"/>
      <c r="AU31" s="85"/>
      <c r="AV31" s="85"/>
      <c r="AW31"/>
      <c r="AX31" s="86"/>
      <c r="AY31"/>
      <c r="AZ31"/>
    </row>
    <row r="32" spans="1:53" ht="13.25" customHeight="1">
      <c r="A32" s="14"/>
      <c r="B32" s="14"/>
      <c r="C32" s="14"/>
      <c r="D32" s="14"/>
      <c r="E32" s="6"/>
      <c r="F32" s="368"/>
      <c r="G32" s="33" t="s">
        <v>32</v>
      </c>
      <c r="H32" s="34"/>
      <c r="I32" s="40">
        <f>1000/V15</f>
        <v>2699.9734572333887</v>
      </c>
      <c r="J32" s="36"/>
      <c r="K32" s="36"/>
      <c r="L32" s="36"/>
      <c r="M32" s="36"/>
      <c r="N32" s="37"/>
      <c r="O32" s="36"/>
      <c r="P32" s="6"/>
      <c r="Q32" s="114"/>
      <c r="R32" s="115"/>
      <c r="S32" s="115"/>
      <c r="T32" s="115"/>
      <c r="U32" s="115"/>
      <c r="V32" s="115"/>
      <c r="W32" s="116"/>
      <c r="X32" s="14"/>
      <c r="Y32" s="14"/>
      <c r="Z32" s="14"/>
      <c r="AA32" s="14"/>
      <c r="AB32" s="14"/>
      <c r="AC32" s="14"/>
      <c r="AD32" s="14"/>
      <c r="AE32" s="14"/>
      <c r="AF32" s="14"/>
      <c r="AG32" s="14"/>
      <c r="AH32" s="14"/>
      <c r="AI32" s="14"/>
      <c r="AJ32" s="14"/>
      <c r="AK32" s="14"/>
      <c r="AL32" s="14"/>
      <c r="AM32" s="14"/>
      <c r="AN32" s="14"/>
      <c r="AO32" s="14"/>
      <c r="AP32" s="14"/>
      <c r="AR32"/>
      <c r="AS32" s="85"/>
      <c r="AT32" s="85"/>
      <c r="AU32" s="85"/>
      <c r="AV32" s="85"/>
      <c r="AW32"/>
      <c r="AX32" s="86"/>
      <c r="AY32"/>
      <c r="AZ32"/>
    </row>
    <row r="33" spans="1:52" ht="13.75" customHeight="1" thickBot="1">
      <c r="A33" s="14"/>
      <c r="B33" s="14"/>
      <c r="C33" s="14"/>
      <c r="D33" s="14"/>
      <c r="E33" s="14"/>
      <c r="F33" s="369"/>
      <c r="G33" s="118" t="s">
        <v>210</v>
      </c>
      <c r="H33" s="119"/>
      <c r="I33" s="120">
        <f>1000/V16</f>
        <v>2245.9709234651236</v>
      </c>
      <c r="J33" s="7"/>
      <c r="K33" s="7"/>
      <c r="L33" s="7"/>
      <c r="M33" s="7"/>
      <c r="N33" s="182"/>
      <c r="O33" s="14"/>
      <c r="P33" s="14"/>
      <c r="Q33" s="114"/>
      <c r="R33" s="115"/>
      <c r="S33" s="115"/>
      <c r="T33" s="115"/>
      <c r="U33" s="115"/>
      <c r="V33" s="115"/>
      <c r="W33" s="116"/>
      <c r="X33" s="14"/>
      <c r="Y33" s="14"/>
      <c r="Z33" s="14"/>
      <c r="AA33" s="14"/>
      <c r="AB33" s="14"/>
      <c r="AC33" s="14"/>
      <c r="AD33" s="14"/>
      <c r="AE33" s="14"/>
      <c r="AF33" s="14"/>
      <c r="AG33" s="14"/>
      <c r="AH33" s="14"/>
      <c r="AI33" s="14"/>
      <c r="AJ33" s="14"/>
      <c r="AK33" s="14"/>
      <c r="AL33" s="14"/>
      <c r="AM33" s="14"/>
      <c r="AN33" s="14"/>
      <c r="AO33" s="14"/>
      <c r="AP33" s="14"/>
      <c r="AR33" t="str">
        <f>IF(AR30&lt;$D$14,AR30+1,"")</f>
        <v/>
      </c>
      <c r="AS33" s="85">
        <f>IF(ISNUMBER(AR33),AV30,0)</f>
        <v>0</v>
      </c>
      <c r="AT33" s="85"/>
      <c r="AU33" s="85">
        <f t="shared" si="2"/>
        <v>0</v>
      </c>
      <c r="AV33" s="85">
        <f t="shared" si="6"/>
        <v>0</v>
      </c>
      <c r="AW33">
        <f t="shared" si="7"/>
        <v>0</v>
      </c>
      <c r="AX33" s="86">
        <f>LN(AW33+$J$36)-LN($J$36)</f>
        <v>0</v>
      </c>
      <c r="AY33">
        <f t="shared" si="4"/>
        <v>0</v>
      </c>
    </row>
    <row r="34" spans="1:52" ht="51" customHeight="1" thickBot="1">
      <c r="B34" s="14"/>
      <c r="C34" s="14"/>
      <c r="D34" s="14"/>
      <c r="E34" s="14"/>
      <c r="F34" s="14"/>
      <c r="G34" s="14"/>
      <c r="H34" s="14"/>
      <c r="I34" s="14"/>
      <c r="J34" s="14"/>
      <c r="K34" s="14"/>
      <c r="L34" s="14"/>
      <c r="M34" s="14"/>
      <c r="N34" s="14"/>
      <c r="O34" s="14"/>
      <c r="P34" s="14"/>
      <c r="Q34" s="114"/>
      <c r="R34" s="115"/>
      <c r="S34" s="115"/>
      <c r="T34" s="115"/>
      <c r="U34" s="115"/>
      <c r="V34" s="115"/>
      <c r="W34" s="116"/>
      <c r="X34" s="14"/>
      <c r="Y34" s="14"/>
      <c r="Z34" s="14"/>
      <c r="AA34" s="14"/>
      <c r="AB34" s="14"/>
      <c r="AC34" s="14"/>
      <c r="AD34" s="14"/>
      <c r="AE34" s="14"/>
      <c r="AF34" s="14"/>
      <c r="AG34" s="14"/>
      <c r="AH34" s="14"/>
      <c r="AI34" s="14"/>
      <c r="AJ34" s="14"/>
      <c r="AK34" s="14"/>
      <c r="AL34" s="14"/>
      <c r="AM34" s="14"/>
      <c r="AQ34"/>
      <c r="AR34" t="str">
        <f t="shared" si="1"/>
        <v/>
      </c>
      <c r="AS34" s="85">
        <f t="shared" si="5"/>
        <v>0</v>
      </c>
      <c r="AT34" s="85"/>
      <c r="AU34" s="85">
        <f t="shared" si="2"/>
        <v>0</v>
      </c>
      <c r="AV34" s="85">
        <f t="shared" si="6"/>
        <v>0</v>
      </c>
      <c r="AW34">
        <f t="shared" si="7"/>
        <v>0</v>
      </c>
      <c r="AX34" s="86">
        <f>LN(AW34+$J$36)-LN($J$36)</f>
        <v>0</v>
      </c>
      <c r="AY34">
        <f t="shared" si="4"/>
        <v>0</v>
      </c>
    </row>
    <row r="35" spans="1:52" ht="31.25" customHeight="1">
      <c r="A35" s="14"/>
      <c r="B35" s="327" t="s">
        <v>29</v>
      </c>
      <c r="C35" s="16"/>
      <c r="D35" s="330" t="s">
        <v>24</v>
      </c>
      <c r="E35" s="331"/>
      <c r="F35" s="332"/>
      <c r="G35" s="18" t="s">
        <v>16</v>
      </c>
      <c r="H35" s="341" t="s">
        <v>27</v>
      </c>
      <c r="I35" s="342"/>
      <c r="J35" s="330" t="s">
        <v>26</v>
      </c>
      <c r="K35" s="331"/>
      <c r="L35" s="331"/>
      <c r="M35" s="331"/>
      <c r="N35" s="332"/>
      <c r="O35" s="330" t="s">
        <v>17</v>
      </c>
      <c r="P35" s="332"/>
      <c r="Q35" s="264" t="s">
        <v>18</v>
      </c>
      <c r="R35" s="103" t="s">
        <v>178</v>
      </c>
      <c r="S35" s="213" t="s">
        <v>25</v>
      </c>
      <c r="T35" s="214"/>
      <c r="U35" s="103" t="s">
        <v>172</v>
      </c>
      <c r="V35" s="103" t="s">
        <v>222</v>
      </c>
      <c r="W35" s="111" t="s">
        <v>225</v>
      </c>
      <c r="X35" s="14"/>
      <c r="Y35" s="14"/>
      <c r="Z35" s="14"/>
      <c r="AA35" s="14"/>
      <c r="AB35" s="14"/>
      <c r="AC35" s="14"/>
      <c r="AD35" s="14"/>
      <c r="AE35" s="14"/>
      <c r="AF35" s="14"/>
      <c r="AG35" s="14"/>
      <c r="AH35" s="14"/>
      <c r="AI35" s="14"/>
      <c r="AJ35" s="14"/>
      <c r="AK35" s="14"/>
      <c r="AL35" s="14"/>
      <c r="AM35" s="14"/>
      <c r="AQ35"/>
      <c r="AR35" t="str">
        <f t="shared" si="1"/>
        <v/>
      </c>
      <c r="AS35" s="85">
        <f t="shared" si="5"/>
        <v>0</v>
      </c>
      <c r="AT35" s="85"/>
      <c r="AU35" s="85">
        <f t="shared" si="2"/>
        <v>0</v>
      </c>
      <c r="AV35" s="85">
        <f t="shared" si="6"/>
        <v>0</v>
      </c>
      <c r="AW35">
        <f t="shared" si="7"/>
        <v>0</v>
      </c>
      <c r="AX35" s="86">
        <f>LN(AW35+$J$36)-LN($J$36)</f>
        <v>0</v>
      </c>
      <c r="AY35">
        <f t="shared" si="4"/>
        <v>0</v>
      </c>
      <c r="AZ35"/>
    </row>
    <row r="36" spans="1:52" ht="12" customHeight="1">
      <c r="A36" s="14"/>
      <c r="B36" s="328"/>
      <c r="C36" s="19" t="s">
        <v>20</v>
      </c>
      <c r="D36" s="333">
        <v>0.253</v>
      </c>
      <c r="E36" s="334"/>
      <c r="F36" s="335"/>
      <c r="G36" s="26">
        <v>2.41</v>
      </c>
      <c r="H36" s="336">
        <v>4.7</v>
      </c>
      <c r="I36" s="337"/>
      <c r="J36" s="338">
        <v>285.92</v>
      </c>
      <c r="K36" s="339"/>
      <c r="L36" s="339"/>
      <c r="M36" s="339"/>
      <c r="N36" s="340"/>
      <c r="O36" s="385">
        <v>1000</v>
      </c>
      <c r="P36" s="386"/>
      <c r="Q36" s="102">
        <v>288</v>
      </c>
      <c r="R36" s="104">
        <v>3337.06</v>
      </c>
      <c r="S36" s="204">
        <v>6.32</v>
      </c>
      <c r="T36" s="265"/>
      <c r="U36" s="185">
        <f>AVERAGE(36.46,36.59)</f>
        <v>36.525000000000006</v>
      </c>
      <c r="V36" s="185">
        <v>15</v>
      </c>
      <c r="W36" s="173">
        <v>0.43099999999999999</v>
      </c>
      <c r="X36" s="14"/>
      <c r="Y36" s="6"/>
      <c r="Z36" s="14"/>
      <c r="AA36" s="14"/>
      <c r="AB36" s="14"/>
      <c r="AC36" s="14"/>
      <c r="AD36" s="14"/>
      <c r="AE36" s="14"/>
      <c r="AF36" s="14"/>
      <c r="AG36" s="14"/>
      <c r="AH36" s="14"/>
      <c r="AI36" s="14"/>
      <c r="AJ36" s="14"/>
      <c r="AK36" s="14"/>
      <c r="AL36" s="14"/>
      <c r="AM36" s="14"/>
      <c r="AN36" s="14"/>
      <c r="AR36" t="str">
        <f t="shared" si="1"/>
        <v/>
      </c>
      <c r="AS36" s="85">
        <f t="shared" si="5"/>
        <v>0</v>
      </c>
      <c r="AT36" s="85"/>
      <c r="AU36" s="85">
        <f t="shared" si="2"/>
        <v>0</v>
      </c>
      <c r="AV36" s="85">
        <f t="shared" si="6"/>
        <v>0</v>
      </c>
      <c r="AW36">
        <f t="shared" si="7"/>
        <v>0</v>
      </c>
      <c r="AX36" s="86">
        <f>LN(AW36+$J$36)-LN($J$36)</f>
        <v>0</v>
      </c>
      <c r="AY36">
        <f t="shared" si="4"/>
        <v>0</v>
      </c>
      <c r="AZ36"/>
    </row>
    <row r="37" spans="1:52" ht="12" customHeight="1" thickBot="1">
      <c r="A37" s="14"/>
      <c r="B37" s="329"/>
      <c r="C37" s="20" t="s">
        <v>21</v>
      </c>
      <c r="D37" s="394" t="s">
        <v>22</v>
      </c>
      <c r="E37" s="394"/>
      <c r="F37" s="394"/>
      <c r="G37" s="393" t="s">
        <v>23</v>
      </c>
      <c r="H37" s="393"/>
      <c r="I37" s="393"/>
      <c r="J37" s="393"/>
      <c r="K37" s="393"/>
      <c r="L37" s="393"/>
      <c r="M37" s="393"/>
      <c r="N37" s="393"/>
      <c r="O37" s="393"/>
      <c r="P37" s="393"/>
      <c r="Q37" s="393"/>
      <c r="R37" s="364" t="s">
        <v>140</v>
      </c>
      <c r="S37" s="365"/>
      <c r="T37" s="366"/>
      <c r="U37" s="186" t="s">
        <v>185</v>
      </c>
      <c r="V37" s="187" t="s">
        <v>223</v>
      </c>
      <c r="W37" s="188" t="s">
        <v>307</v>
      </c>
      <c r="X37" s="14"/>
      <c r="Y37" s="6"/>
      <c r="Z37" s="14"/>
      <c r="AA37" s="14"/>
      <c r="AB37" s="14"/>
      <c r="AC37" s="14"/>
      <c r="AD37" s="14"/>
      <c r="AE37" s="14"/>
      <c r="AF37" s="14"/>
      <c r="AG37" s="14"/>
      <c r="AH37" s="14"/>
      <c r="AI37" s="14"/>
      <c r="AJ37" s="14"/>
      <c r="AK37" s="14"/>
      <c r="AL37" s="14"/>
      <c r="AM37" s="14"/>
      <c r="AN37" s="14"/>
      <c r="AO37" s="14"/>
      <c r="AP37" s="14"/>
      <c r="AR37" t="str">
        <f t="shared" si="1"/>
        <v/>
      </c>
      <c r="AS37" s="85">
        <f t="shared" si="5"/>
        <v>0</v>
      </c>
      <c r="AT37" s="85"/>
      <c r="AU37" s="85">
        <f t="shared" si="2"/>
        <v>0</v>
      </c>
      <c r="AV37" s="85">
        <f t="shared" si="6"/>
        <v>0</v>
      </c>
      <c r="AW37">
        <f t="shared" si="7"/>
        <v>0</v>
      </c>
      <c r="AX37" s="86">
        <f>LN(AW37+$J$36)-LN($J$36)</f>
        <v>0</v>
      </c>
      <c r="AY37">
        <f t="shared" si="4"/>
        <v>0</v>
      </c>
      <c r="AZ37"/>
    </row>
    <row r="38" spans="1:52" s="14" customFormat="1" ht="14">
      <c r="J38" s="148"/>
      <c r="K38" s="148"/>
      <c r="L38" s="148"/>
      <c r="M38" s="148"/>
      <c r="Y38" s="6"/>
      <c r="AR38" s="117" t="str">
        <f t="shared" si="1"/>
        <v/>
      </c>
      <c r="AS38" s="183">
        <f t="shared" si="5"/>
        <v>0</v>
      </c>
      <c r="AT38" s="183"/>
      <c r="AU38" s="183">
        <f t="shared" si="2"/>
        <v>0</v>
      </c>
      <c r="AV38" s="183">
        <f t="shared" si="6"/>
        <v>0</v>
      </c>
      <c r="AW38" s="117">
        <f t="shared" si="7"/>
        <v>0</v>
      </c>
      <c r="AX38" s="184">
        <f t="shared" ref="AX38:AX101" si="8">LN(AW38+$J$36)-LN($J$36)</f>
        <v>0</v>
      </c>
      <c r="AY38" s="117">
        <f t="shared" si="4"/>
        <v>0</v>
      </c>
      <c r="AZ38" s="117"/>
    </row>
    <row r="39" spans="1:52" s="14" customFormat="1" ht="14">
      <c r="AR39" s="117" t="str">
        <f t="shared" si="1"/>
        <v/>
      </c>
      <c r="AS39" s="183">
        <f t="shared" si="5"/>
        <v>0</v>
      </c>
      <c r="AT39" s="183"/>
      <c r="AU39" s="183">
        <f t="shared" si="2"/>
        <v>0</v>
      </c>
      <c r="AV39" s="183">
        <f t="shared" si="6"/>
        <v>0</v>
      </c>
      <c r="AW39" s="117">
        <f t="shared" si="7"/>
        <v>0</v>
      </c>
      <c r="AX39" s="184">
        <f t="shared" si="8"/>
        <v>0</v>
      </c>
      <c r="AY39" s="117">
        <f t="shared" si="4"/>
        <v>0</v>
      </c>
      <c r="AZ39" s="117"/>
    </row>
    <row r="40" spans="1:52" s="14" customFormat="1" ht="14">
      <c r="AR40" s="117" t="str">
        <f t="shared" si="1"/>
        <v/>
      </c>
      <c r="AS40" s="183">
        <f t="shared" si="5"/>
        <v>0</v>
      </c>
      <c r="AT40" s="183"/>
      <c r="AU40" s="183">
        <f t="shared" si="2"/>
        <v>0</v>
      </c>
      <c r="AV40" s="183">
        <f t="shared" si="6"/>
        <v>0</v>
      </c>
      <c r="AW40" s="117">
        <f t="shared" si="7"/>
        <v>0</v>
      </c>
      <c r="AX40" s="184">
        <f t="shared" si="8"/>
        <v>0</v>
      </c>
      <c r="AY40" s="117">
        <f t="shared" si="4"/>
        <v>0</v>
      </c>
      <c r="AZ40" s="117"/>
    </row>
    <row r="41" spans="1:52" s="14" customFormat="1" ht="14">
      <c r="AR41" s="117" t="str">
        <f t="shared" si="1"/>
        <v/>
      </c>
      <c r="AS41" s="183">
        <f t="shared" si="5"/>
        <v>0</v>
      </c>
      <c r="AT41" s="183"/>
      <c r="AU41" s="183">
        <f t="shared" si="2"/>
        <v>0</v>
      </c>
      <c r="AV41" s="183">
        <f t="shared" si="6"/>
        <v>0</v>
      </c>
      <c r="AW41" s="117">
        <f t="shared" si="7"/>
        <v>0</v>
      </c>
      <c r="AX41" s="184">
        <f t="shared" si="8"/>
        <v>0</v>
      </c>
      <c r="AY41" s="117">
        <f t="shared" si="4"/>
        <v>0</v>
      </c>
      <c r="AZ41" s="117"/>
    </row>
    <row r="42" spans="1:52" s="14" customFormat="1" ht="14">
      <c r="AR42" s="117" t="str">
        <f t="shared" si="1"/>
        <v/>
      </c>
      <c r="AS42" s="183">
        <f t="shared" si="5"/>
        <v>0</v>
      </c>
      <c r="AT42" s="183"/>
      <c r="AU42" s="183">
        <f t="shared" si="2"/>
        <v>0</v>
      </c>
      <c r="AV42" s="183">
        <f t="shared" si="6"/>
        <v>0</v>
      </c>
      <c r="AW42" s="117">
        <f t="shared" si="7"/>
        <v>0</v>
      </c>
      <c r="AX42" s="184">
        <f t="shared" si="8"/>
        <v>0</v>
      </c>
      <c r="AY42" s="117">
        <f t="shared" si="4"/>
        <v>0</v>
      </c>
      <c r="AZ42" s="117"/>
    </row>
    <row r="43" spans="1:52" s="14" customFormat="1" ht="14">
      <c r="AR43" s="117" t="str">
        <f t="shared" si="1"/>
        <v/>
      </c>
      <c r="AS43" s="183">
        <f t="shared" si="5"/>
        <v>0</v>
      </c>
      <c r="AT43" s="183"/>
      <c r="AU43" s="183">
        <f t="shared" si="2"/>
        <v>0</v>
      </c>
      <c r="AV43" s="183">
        <f t="shared" si="6"/>
        <v>0</v>
      </c>
      <c r="AW43" s="117">
        <f t="shared" si="7"/>
        <v>0</v>
      </c>
      <c r="AX43" s="184">
        <f t="shared" si="8"/>
        <v>0</v>
      </c>
      <c r="AY43" s="117">
        <f t="shared" si="4"/>
        <v>0</v>
      </c>
      <c r="AZ43" s="117"/>
    </row>
    <row r="44" spans="1:52" s="14" customFormat="1" ht="14">
      <c r="AR44" s="117" t="str">
        <f t="shared" si="1"/>
        <v/>
      </c>
      <c r="AS44" s="183">
        <f t="shared" si="5"/>
        <v>0</v>
      </c>
      <c r="AT44" s="183"/>
      <c r="AU44" s="183">
        <f t="shared" si="2"/>
        <v>0</v>
      </c>
      <c r="AV44" s="183">
        <f t="shared" si="6"/>
        <v>0</v>
      </c>
      <c r="AW44" s="117">
        <f t="shared" si="7"/>
        <v>0</v>
      </c>
      <c r="AX44" s="184">
        <f t="shared" si="8"/>
        <v>0</v>
      </c>
      <c r="AY44" s="117">
        <f t="shared" si="4"/>
        <v>0</v>
      </c>
      <c r="AZ44" s="117"/>
    </row>
    <row r="45" spans="1:52" s="14" customFormat="1" ht="14">
      <c r="AR45" s="117" t="str">
        <f t="shared" si="1"/>
        <v/>
      </c>
      <c r="AS45" s="183">
        <f t="shared" si="5"/>
        <v>0</v>
      </c>
      <c r="AT45" s="183"/>
      <c r="AU45" s="183">
        <f t="shared" si="2"/>
        <v>0</v>
      </c>
      <c r="AV45" s="183">
        <f t="shared" si="6"/>
        <v>0</v>
      </c>
      <c r="AW45" s="117">
        <f t="shared" si="7"/>
        <v>0</v>
      </c>
      <c r="AX45" s="184">
        <f t="shared" si="8"/>
        <v>0</v>
      </c>
      <c r="AY45" s="117">
        <f t="shared" si="4"/>
        <v>0</v>
      </c>
      <c r="AZ45" s="117"/>
    </row>
    <row r="46" spans="1:52" s="14" customFormat="1" ht="14">
      <c r="AR46" s="117" t="str">
        <f t="shared" si="1"/>
        <v/>
      </c>
      <c r="AS46" s="183">
        <f t="shared" si="5"/>
        <v>0</v>
      </c>
      <c r="AT46" s="183"/>
      <c r="AU46" s="183">
        <f t="shared" si="2"/>
        <v>0</v>
      </c>
      <c r="AV46" s="183">
        <f t="shared" si="6"/>
        <v>0</v>
      </c>
      <c r="AW46" s="117">
        <f t="shared" si="7"/>
        <v>0</v>
      </c>
      <c r="AX46" s="184">
        <f t="shared" si="8"/>
        <v>0</v>
      </c>
      <c r="AY46" s="117">
        <f t="shared" si="4"/>
        <v>0</v>
      </c>
      <c r="AZ46" s="117"/>
    </row>
    <row r="47" spans="1:52" s="14" customFormat="1" ht="14">
      <c r="AR47" s="117" t="str">
        <f t="shared" si="1"/>
        <v/>
      </c>
      <c r="AS47" s="183">
        <f t="shared" si="5"/>
        <v>0</v>
      </c>
      <c r="AT47" s="183"/>
      <c r="AU47" s="183">
        <f t="shared" si="2"/>
        <v>0</v>
      </c>
      <c r="AV47" s="183">
        <f t="shared" si="6"/>
        <v>0</v>
      </c>
      <c r="AW47" s="117">
        <f t="shared" si="7"/>
        <v>0</v>
      </c>
      <c r="AX47" s="184">
        <f t="shared" si="8"/>
        <v>0</v>
      </c>
      <c r="AY47" s="117">
        <f t="shared" si="4"/>
        <v>0</v>
      </c>
      <c r="AZ47" s="117"/>
    </row>
    <row r="48" spans="1:52" s="14" customFormat="1" ht="14">
      <c r="AR48" s="117" t="str">
        <f t="shared" si="1"/>
        <v/>
      </c>
      <c r="AS48" s="183">
        <f t="shared" si="5"/>
        <v>0</v>
      </c>
      <c r="AT48" s="183"/>
      <c r="AU48" s="183">
        <f t="shared" si="2"/>
        <v>0</v>
      </c>
      <c r="AV48" s="183">
        <f t="shared" si="6"/>
        <v>0</v>
      </c>
      <c r="AW48" s="117">
        <f t="shared" si="7"/>
        <v>0</v>
      </c>
      <c r="AX48" s="184">
        <f t="shared" si="8"/>
        <v>0</v>
      </c>
      <c r="AY48" s="117">
        <f t="shared" si="4"/>
        <v>0</v>
      </c>
      <c r="AZ48" s="117"/>
    </row>
    <row r="49" spans="44:52" s="14" customFormat="1" ht="14">
      <c r="AR49" s="117" t="str">
        <f t="shared" si="1"/>
        <v/>
      </c>
      <c r="AS49" s="183">
        <f t="shared" si="5"/>
        <v>0</v>
      </c>
      <c r="AT49" s="183"/>
      <c r="AU49" s="183">
        <f t="shared" si="2"/>
        <v>0</v>
      </c>
      <c r="AV49" s="183">
        <f t="shared" si="6"/>
        <v>0</v>
      </c>
      <c r="AW49" s="117">
        <f t="shared" si="7"/>
        <v>0</v>
      </c>
      <c r="AX49" s="184">
        <f t="shared" si="8"/>
        <v>0</v>
      </c>
      <c r="AY49" s="117">
        <f t="shared" si="4"/>
        <v>0</v>
      </c>
      <c r="AZ49" s="117"/>
    </row>
    <row r="50" spans="44:52" s="14" customFormat="1" ht="14">
      <c r="AR50" s="117" t="str">
        <f t="shared" si="1"/>
        <v/>
      </c>
      <c r="AS50" s="183">
        <f t="shared" si="5"/>
        <v>0</v>
      </c>
      <c r="AT50" s="183"/>
      <c r="AU50" s="183">
        <f t="shared" si="2"/>
        <v>0</v>
      </c>
      <c r="AV50" s="183">
        <f t="shared" si="6"/>
        <v>0</v>
      </c>
      <c r="AW50" s="117">
        <f t="shared" si="7"/>
        <v>0</v>
      </c>
      <c r="AX50" s="184">
        <f t="shared" si="8"/>
        <v>0</v>
      </c>
      <c r="AY50" s="117">
        <f t="shared" si="4"/>
        <v>0</v>
      </c>
      <c r="AZ50" s="117"/>
    </row>
    <row r="51" spans="44:52" s="14" customFormat="1" ht="14">
      <c r="AR51" s="117" t="str">
        <f t="shared" si="1"/>
        <v/>
      </c>
      <c r="AS51" s="183">
        <f t="shared" si="5"/>
        <v>0</v>
      </c>
      <c r="AT51" s="183"/>
      <c r="AU51" s="183">
        <f t="shared" si="2"/>
        <v>0</v>
      </c>
      <c r="AV51" s="183">
        <f t="shared" si="6"/>
        <v>0</v>
      </c>
      <c r="AW51" s="117">
        <f t="shared" si="7"/>
        <v>0</v>
      </c>
      <c r="AX51" s="184">
        <f t="shared" si="8"/>
        <v>0</v>
      </c>
      <c r="AY51" s="117">
        <f t="shared" si="4"/>
        <v>0</v>
      </c>
      <c r="AZ51" s="117"/>
    </row>
    <row r="52" spans="44:52" s="14" customFormat="1" ht="14">
      <c r="AR52" s="117" t="str">
        <f t="shared" si="1"/>
        <v/>
      </c>
      <c r="AS52" s="183">
        <f t="shared" si="5"/>
        <v>0</v>
      </c>
      <c r="AT52" s="183"/>
      <c r="AU52" s="183">
        <f t="shared" si="2"/>
        <v>0</v>
      </c>
      <c r="AV52" s="183">
        <f t="shared" si="6"/>
        <v>0</v>
      </c>
      <c r="AW52" s="117">
        <f t="shared" si="7"/>
        <v>0</v>
      </c>
      <c r="AX52" s="184">
        <f t="shared" si="8"/>
        <v>0</v>
      </c>
      <c r="AY52" s="117">
        <f t="shared" si="4"/>
        <v>0</v>
      </c>
      <c r="AZ52" s="117"/>
    </row>
    <row r="53" spans="44:52" s="14" customFormat="1" ht="14">
      <c r="AR53" s="117" t="str">
        <f t="shared" si="1"/>
        <v/>
      </c>
      <c r="AS53" s="183">
        <f t="shared" si="5"/>
        <v>0</v>
      </c>
      <c r="AT53" s="183"/>
      <c r="AU53" s="183">
        <f t="shared" si="2"/>
        <v>0</v>
      </c>
      <c r="AV53" s="183">
        <f t="shared" si="6"/>
        <v>0</v>
      </c>
      <c r="AW53" s="117">
        <f t="shared" si="7"/>
        <v>0</v>
      </c>
      <c r="AX53" s="184">
        <f t="shared" si="8"/>
        <v>0</v>
      </c>
      <c r="AY53" s="117">
        <f t="shared" si="4"/>
        <v>0</v>
      </c>
      <c r="AZ53" s="117"/>
    </row>
    <row r="54" spans="44:52" s="14" customFormat="1" ht="14">
      <c r="AR54" s="117" t="str">
        <f t="shared" si="1"/>
        <v/>
      </c>
      <c r="AS54" s="183">
        <f t="shared" si="5"/>
        <v>0</v>
      </c>
      <c r="AT54" s="183"/>
      <c r="AU54" s="183">
        <f t="shared" si="2"/>
        <v>0</v>
      </c>
      <c r="AV54" s="183">
        <f t="shared" si="6"/>
        <v>0</v>
      </c>
      <c r="AW54" s="117">
        <f t="shared" si="7"/>
        <v>0</v>
      </c>
      <c r="AX54" s="184">
        <f t="shared" si="8"/>
        <v>0</v>
      </c>
      <c r="AY54" s="117">
        <f t="shared" si="4"/>
        <v>0</v>
      </c>
      <c r="AZ54" s="117"/>
    </row>
    <row r="55" spans="44:52" s="14" customFormat="1" ht="14">
      <c r="AR55" s="117" t="str">
        <f t="shared" si="1"/>
        <v/>
      </c>
      <c r="AS55" s="183">
        <f t="shared" si="5"/>
        <v>0</v>
      </c>
      <c r="AT55" s="183"/>
      <c r="AU55" s="183">
        <f t="shared" si="2"/>
        <v>0</v>
      </c>
      <c r="AV55" s="183">
        <f t="shared" si="6"/>
        <v>0</v>
      </c>
      <c r="AW55" s="117">
        <f t="shared" si="7"/>
        <v>0</v>
      </c>
      <c r="AX55" s="184">
        <f t="shared" si="8"/>
        <v>0</v>
      </c>
      <c r="AY55" s="117">
        <f t="shared" si="4"/>
        <v>0</v>
      </c>
      <c r="AZ55" s="117"/>
    </row>
    <row r="56" spans="44:52" s="14" customFormat="1" ht="14">
      <c r="AR56" s="117" t="str">
        <f t="shared" si="1"/>
        <v/>
      </c>
      <c r="AS56" s="183">
        <f t="shared" si="5"/>
        <v>0</v>
      </c>
      <c r="AT56" s="183"/>
      <c r="AU56" s="183">
        <f t="shared" si="2"/>
        <v>0</v>
      </c>
      <c r="AV56" s="183">
        <f t="shared" si="6"/>
        <v>0</v>
      </c>
      <c r="AW56" s="117">
        <f t="shared" si="7"/>
        <v>0</v>
      </c>
      <c r="AX56" s="184">
        <f t="shared" si="8"/>
        <v>0</v>
      </c>
      <c r="AY56" s="117">
        <f t="shared" si="4"/>
        <v>0</v>
      </c>
      <c r="AZ56" s="117"/>
    </row>
    <row r="57" spans="44:52" s="14" customFormat="1" ht="14">
      <c r="AR57" s="117" t="str">
        <f t="shared" si="1"/>
        <v/>
      </c>
      <c r="AS57" s="183">
        <f t="shared" si="5"/>
        <v>0</v>
      </c>
      <c r="AT57" s="183"/>
      <c r="AU57" s="183">
        <f t="shared" si="2"/>
        <v>0</v>
      </c>
      <c r="AV57" s="183">
        <f t="shared" si="6"/>
        <v>0</v>
      </c>
      <c r="AW57" s="117">
        <f t="shared" si="7"/>
        <v>0</v>
      </c>
      <c r="AX57" s="184">
        <f t="shared" si="8"/>
        <v>0</v>
      </c>
      <c r="AY57" s="117">
        <f t="shared" si="4"/>
        <v>0</v>
      </c>
      <c r="AZ57" s="117"/>
    </row>
    <row r="58" spans="44:52" s="14" customFormat="1" ht="14">
      <c r="AR58" s="117" t="str">
        <f t="shared" si="1"/>
        <v/>
      </c>
      <c r="AS58" s="183">
        <f t="shared" si="5"/>
        <v>0</v>
      </c>
      <c r="AT58" s="183"/>
      <c r="AU58" s="183">
        <f t="shared" si="2"/>
        <v>0</v>
      </c>
      <c r="AV58" s="183">
        <f t="shared" si="6"/>
        <v>0</v>
      </c>
      <c r="AW58" s="117">
        <f t="shared" si="7"/>
        <v>0</v>
      </c>
      <c r="AX58" s="184">
        <f t="shared" si="8"/>
        <v>0</v>
      </c>
      <c r="AY58" s="117">
        <f t="shared" si="4"/>
        <v>0</v>
      </c>
      <c r="AZ58" s="117"/>
    </row>
    <row r="59" spans="44:52" s="14" customFormat="1" ht="14">
      <c r="AR59" s="117" t="str">
        <f t="shared" si="1"/>
        <v/>
      </c>
      <c r="AS59" s="183">
        <f t="shared" si="5"/>
        <v>0</v>
      </c>
      <c r="AT59" s="183"/>
      <c r="AU59" s="183">
        <f t="shared" si="2"/>
        <v>0</v>
      </c>
      <c r="AV59" s="183">
        <f t="shared" si="6"/>
        <v>0</v>
      </c>
      <c r="AW59" s="117">
        <f t="shared" si="7"/>
        <v>0</v>
      </c>
      <c r="AX59" s="184">
        <f t="shared" si="8"/>
        <v>0</v>
      </c>
      <c r="AY59" s="117">
        <f t="shared" si="4"/>
        <v>0</v>
      </c>
      <c r="AZ59" s="117"/>
    </row>
    <row r="60" spans="44:52" s="14" customFormat="1" ht="14">
      <c r="AR60" s="117" t="str">
        <f t="shared" si="1"/>
        <v/>
      </c>
      <c r="AS60" s="183">
        <f t="shared" si="5"/>
        <v>0</v>
      </c>
      <c r="AT60" s="183"/>
      <c r="AU60" s="183">
        <f t="shared" si="2"/>
        <v>0</v>
      </c>
      <c r="AV60" s="183">
        <f t="shared" si="6"/>
        <v>0</v>
      </c>
      <c r="AW60" s="117">
        <f t="shared" si="7"/>
        <v>0</v>
      </c>
      <c r="AX60" s="184">
        <f t="shared" si="8"/>
        <v>0</v>
      </c>
      <c r="AY60" s="117">
        <f t="shared" si="4"/>
        <v>0</v>
      </c>
      <c r="AZ60" s="117"/>
    </row>
    <row r="61" spans="44:52" s="14" customFormat="1" ht="14">
      <c r="AR61" s="117" t="str">
        <f t="shared" si="1"/>
        <v/>
      </c>
      <c r="AS61" s="183">
        <f t="shared" si="5"/>
        <v>0</v>
      </c>
      <c r="AT61" s="183"/>
      <c r="AU61" s="183">
        <f t="shared" si="2"/>
        <v>0</v>
      </c>
      <c r="AV61" s="183">
        <f t="shared" si="6"/>
        <v>0</v>
      </c>
      <c r="AW61" s="117">
        <f t="shared" si="7"/>
        <v>0</v>
      </c>
      <c r="AX61" s="184">
        <f t="shared" si="8"/>
        <v>0</v>
      </c>
      <c r="AY61" s="117">
        <f t="shared" si="4"/>
        <v>0</v>
      </c>
      <c r="AZ61" s="117"/>
    </row>
    <row r="62" spans="44:52" s="14" customFormat="1" ht="14">
      <c r="AR62" s="117" t="str">
        <f t="shared" si="1"/>
        <v/>
      </c>
      <c r="AS62" s="183">
        <f t="shared" si="5"/>
        <v>0</v>
      </c>
      <c r="AT62" s="183"/>
      <c r="AU62" s="183">
        <f t="shared" si="2"/>
        <v>0</v>
      </c>
      <c r="AV62" s="183">
        <f t="shared" si="6"/>
        <v>0</v>
      </c>
      <c r="AW62" s="117">
        <f t="shared" si="7"/>
        <v>0</v>
      </c>
      <c r="AX62" s="184">
        <f t="shared" si="8"/>
        <v>0</v>
      </c>
      <c r="AY62" s="117">
        <f t="shared" si="4"/>
        <v>0</v>
      </c>
      <c r="AZ62" s="117"/>
    </row>
    <row r="63" spans="44:52" s="14" customFormat="1" ht="14">
      <c r="AR63" s="117" t="str">
        <f t="shared" si="1"/>
        <v/>
      </c>
      <c r="AS63" s="183">
        <f t="shared" si="5"/>
        <v>0</v>
      </c>
      <c r="AT63" s="183"/>
      <c r="AU63" s="183">
        <f t="shared" si="2"/>
        <v>0</v>
      </c>
      <c r="AV63" s="183">
        <f t="shared" si="6"/>
        <v>0</v>
      </c>
      <c r="AW63" s="117">
        <f t="shared" si="7"/>
        <v>0</v>
      </c>
      <c r="AX63" s="184">
        <f t="shared" si="8"/>
        <v>0</v>
      </c>
      <c r="AY63" s="117">
        <f t="shared" si="4"/>
        <v>0</v>
      </c>
      <c r="AZ63" s="117"/>
    </row>
    <row r="64" spans="44:52" s="14" customFormat="1" ht="14">
      <c r="AR64" s="117" t="str">
        <f t="shared" si="1"/>
        <v/>
      </c>
      <c r="AS64" s="183">
        <f t="shared" si="5"/>
        <v>0</v>
      </c>
      <c r="AT64" s="183"/>
      <c r="AU64" s="183">
        <f t="shared" si="2"/>
        <v>0</v>
      </c>
      <c r="AV64" s="183">
        <f t="shared" si="6"/>
        <v>0</v>
      </c>
      <c r="AW64" s="117">
        <f t="shared" si="7"/>
        <v>0</v>
      </c>
      <c r="AX64" s="184">
        <f t="shared" si="8"/>
        <v>0</v>
      </c>
      <c r="AY64" s="117">
        <f t="shared" si="4"/>
        <v>0</v>
      </c>
      <c r="AZ64" s="117"/>
    </row>
    <row r="65" spans="44:52" s="14" customFormat="1" ht="14">
      <c r="AR65" s="117" t="str">
        <f t="shared" si="1"/>
        <v/>
      </c>
      <c r="AS65" s="183">
        <f t="shared" si="5"/>
        <v>0</v>
      </c>
      <c r="AT65" s="183"/>
      <c r="AU65" s="183">
        <f t="shared" si="2"/>
        <v>0</v>
      </c>
      <c r="AV65" s="183">
        <f t="shared" si="6"/>
        <v>0</v>
      </c>
      <c r="AW65" s="117">
        <f t="shared" si="7"/>
        <v>0</v>
      </c>
      <c r="AX65" s="184">
        <f t="shared" si="8"/>
        <v>0</v>
      </c>
      <c r="AY65" s="117">
        <f t="shared" si="4"/>
        <v>0</v>
      </c>
      <c r="AZ65" s="117"/>
    </row>
    <row r="66" spans="44:52" s="14" customFormat="1" ht="14">
      <c r="AR66" s="117" t="str">
        <f t="shared" si="1"/>
        <v/>
      </c>
      <c r="AS66" s="183">
        <f t="shared" si="5"/>
        <v>0</v>
      </c>
      <c r="AT66" s="183"/>
      <c r="AU66" s="183">
        <f t="shared" si="2"/>
        <v>0</v>
      </c>
      <c r="AV66" s="183">
        <f t="shared" si="6"/>
        <v>0</v>
      </c>
      <c r="AW66" s="117">
        <f t="shared" si="7"/>
        <v>0</v>
      </c>
      <c r="AX66" s="184">
        <f t="shared" si="8"/>
        <v>0</v>
      </c>
      <c r="AY66" s="117">
        <f t="shared" si="4"/>
        <v>0</v>
      </c>
      <c r="AZ66" s="117"/>
    </row>
    <row r="67" spans="44:52" s="14" customFormat="1" ht="14">
      <c r="AR67" s="117" t="str">
        <f t="shared" si="1"/>
        <v/>
      </c>
      <c r="AS67" s="183">
        <f t="shared" si="5"/>
        <v>0</v>
      </c>
      <c r="AT67" s="183"/>
      <c r="AU67" s="183">
        <f t="shared" si="2"/>
        <v>0</v>
      </c>
      <c r="AV67" s="183">
        <f t="shared" si="6"/>
        <v>0</v>
      </c>
      <c r="AW67" s="117">
        <f t="shared" si="7"/>
        <v>0</v>
      </c>
      <c r="AX67" s="184">
        <f t="shared" si="8"/>
        <v>0</v>
      </c>
      <c r="AY67" s="117">
        <f t="shared" si="4"/>
        <v>0</v>
      </c>
      <c r="AZ67" s="117"/>
    </row>
    <row r="68" spans="44:52" s="14" customFormat="1" ht="14">
      <c r="AR68" s="117" t="str">
        <f t="shared" si="1"/>
        <v/>
      </c>
      <c r="AS68" s="183">
        <f t="shared" si="5"/>
        <v>0</v>
      </c>
      <c r="AT68" s="183"/>
      <c r="AU68" s="183">
        <f t="shared" si="2"/>
        <v>0</v>
      </c>
      <c r="AV68" s="183">
        <f t="shared" si="6"/>
        <v>0</v>
      </c>
      <c r="AW68" s="117">
        <f t="shared" si="7"/>
        <v>0</v>
      </c>
      <c r="AX68" s="184">
        <f t="shared" si="8"/>
        <v>0</v>
      </c>
      <c r="AY68" s="117">
        <f t="shared" si="4"/>
        <v>0</v>
      </c>
      <c r="AZ68" s="117"/>
    </row>
    <row r="69" spans="44:52" s="14" customFormat="1" ht="14">
      <c r="AR69" s="117" t="str">
        <f t="shared" ref="AR69:AR113" si="9">IF(AR68&lt;$D$14,AR68+1,"")</f>
        <v/>
      </c>
      <c r="AS69" s="183">
        <f t="shared" si="5"/>
        <v>0</v>
      </c>
      <c r="AT69" s="183"/>
      <c r="AU69" s="183">
        <f t="shared" si="2"/>
        <v>0</v>
      </c>
      <c r="AV69" s="183">
        <f t="shared" si="6"/>
        <v>0</v>
      </c>
      <c r="AW69" s="117">
        <f t="shared" si="7"/>
        <v>0</v>
      </c>
      <c r="AX69" s="184">
        <f t="shared" si="8"/>
        <v>0</v>
      </c>
      <c r="AY69" s="117">
        <f t="shared" si="4"/>
        <v>0</v>
      </c>
      <c r="AZ69" s="117"/>
    </row>
    <row r="70" spans="44:52" s="14" customFormat="1" ht="14">
      <c r="AR70" s="117" t="str">
        <f t="shared" si="9"/>
        <v/>
      </c>
      <c r="AS70" s="183">
        <f t="shared" si="5"/>
        <v>0</v>
      </c>
      <c r="AT70" s="183"/>
      <c r="AU70" s="183">
        <f t="shared" si="2"/>
        <v>0</v>
      </c>
      <c r="AV70" s="183">
        <f t="shared" si="6"/>
        <v>0</v>
      </c>
      <c r="AW70" s="117">
        <f t="shared" si="7"/>
        <v>0</v>
      </c>
      <c r="AX70" s="184">
        <f t="shared" si="8"/>
        <v>0</v>
      </c>
      <c r="AY70" s="117">
        <f t="shared" si="4"/>
        <v>0</v>
      </c>
      <c r="AZ70" s="117"/>
    </row>
    <row r="71" spans="44:52" s="14" customFormat="1" ht="14">
      <c r="AR71" s="117" t="str">
        <f t="shared" si="9"/>
        <v/>
      </c>
      <c r="AS71" s="183">
        <f t="shared" si="5"/>
        <v>0</v>
      </c>
      <c r="AT71" s="183"/>
      <c r="AU71" s="183">
        <f t="shared" ref="AU71:AU113" si="10">$D$10*AS71</f>
        <v>0</v>
      </c>
      <c r="AV71" s="183">
        <f t="shared" si="6"/>
        <v>0</v>
      </c>
      <c r="AW71" s="117">
        <f t="shared" si="7"/>
        <v>0</v>
      </c>
      <c r="AX71" s="184">
        <f t="shared" si="8"/>
        <v>0</v>
      </c>
      <c r="AY71" s="117">
        <f t="shared" ref="AY71:AY113" si="11">IF(ISNUMBER(AR71),AX71/(1+$D$7)^AR71,0)</f>
        <v>0</v>
      </c>
      <c r="AZ71" s="117"/>
    </row>
    <row r="72" spans="44:52" s="14" customFormat="1" ht="14">
      <c r="AR72" s="117" t="str">
        <f t="shared" si="9"/>
        <v/>
      </c>
      <c r="AS72" s="183">
        <f t="shared" ref="AS72:AS113" si="12">IF(ISNUMBER(AR72),AV71,0)</f>
        <v>0</v>
      </c>
      <c r="AT72" s="183"/>
      <c r="AU72" s="183">
        <f t="shared" si="10"/>
        <v>0</v>
      </c>
      <c r="AV72" s="183">
        <f t="shared" ref="AV72:AV113" si="13">AS72</f>
        <v>0</v>
      </c>
      <c r="AW72" s="117">
        <f t="shared" si="7"/>
        <v>0</v>
      </c>
      <c r="AX72" s="184">
        <f t="shared" si="8"/>
        <v>0</v>
      </c>
      <c r="AY72" s="117">
        <f t="shared" si="11"/>
        <v>0</v>
      </c>
      <c r="AZ72" s="117"/>
    </row>
    <row r="73" spans="44:52" s="14" customFormat="1" ht="14">
      <c r="AR73" s="117" t="str">
        <f t="shared" si="9"/>
        <v/>
      </c>
      <c r="AS73" s="183">
        <f t="shared" si="12"/>
        <v>0</v>
      </c>
      <c r="AT73" s="183"/>
      <c r="AU73" s="183">
        <f t="shared" si="10"/>
        <v>0</v>
      </c>
      <c r="AV73" s="183">
        <f t="shared" si="13"/>
        <v>0</v>
      </c>
      <c r="AW73" s="117">
        <f t="shared" si="7"/>
        <v>0</v>
      </c>
      <c r="AX73" s="184">
        <f t="shared" si="8"/>
        <v>0</v>
      </c>
      <c r="AY73" s="117">
        <f t="shared" si="11"/>
        <v>0</v>
      </c>
      <c r="AZ73" s="117"/>
    </row>
    <row r="74" spans="44:52" s="14" customFormat="1" ht="14">
      <c r="AR74" s="117" t="str">
        <f t="shared" si="9"/>
        <v/>
      </c>
      <c r="AS74" s="183">
        <f t="shared" si="12"/>
        <v>0</v>
      </c>
      <c r="AT74" s="183"/>
      <c r="AU74" s="183">
        <f t="shared" si="10"/>
        <v>0</v>
      </c>
      <c r="AV74" s="183">
        <f t="shared" si="13"/>
        <v>0</v>
      </c>
      <c r="AW74" s="117">
        <f t="shared" si="7"/>
        <v>0</v>
      </c>
      <c r="AX74" s="184">
        <f t="shared" si="8"/>
        <v>0</v>
      </c>
      <c r="AY74" s="117">
        <f t="shared" si="11"/>
        <v>0</v>
      </c>
      <c r="AZ74" s="117"/>
    </row>
    <row r="75" spans="44:52" s="14" customFormat="1" ht="14">
      <c r="AR75" s="117" t="str">
        <f t="shared" si="9"/>
        <v/>
      </c>
      <c r="AS75" s="183">
        <f t="shared" si="12"/>
        <v>0</v>
      </c>
      <c r="AT75" s="183"/>
      <c r="AU75" s="183">
        <f t="shared" si="10"/>
        <v>0</v>
      </c>
      <c r="AV75" s="183">
        <f t="shared" si="13"/>
        <v>0</v>
      </c>
      <c r="AW75" s="117">
        <f t="shared" si="7"/>
        <v>0</v>
      </c>
      <c r="AX75" s="184">
        <f t="shared" si="8"/>
        <v>0</v>
      </c>
      <c r="AY75" s="117">
        <f t="shared" si="11"/>
        <v>0</v>
      </c>
      <c r="AZ75" s="117"/>
    </row>
    <row r="76" spans="44:52" s="14" customFormat="1" ht="14">
      <c r="AR76" s="117" t="str">
        <f t="shared" si="9"/>
        <v/>
      </c>
      <c r="AS76" s="183">
        <f t="shared" si="12"/>
        <v>0</v>
      </c>
      <c r="AT76" s="183"/>
      <c r="AU76" s="183">
        <f t="shared" si="10"/>
        <v>0</v>
      </c>
      <c r="AV76" s="183">
        <f t="shared" si="13"/>
        <v>0</v>
      </c>
      <c r="AW76" s="117">
        <f t="shared" si="7"/>
        <v>0</v>
      </c>
      <c r="AX76" s="184">
        <f t="shared" si="8"/>
        <v>0</v>
      </c>
      <c r="AY76" s="117">
        <f t="shared" si="11"/>
        <v>0</v>
      </c>
      <c r="AZ76" s="117"/>
    </row>
    <row r="77" spans="44:52" s="14" customFormat="1" ht="14">
      <c r="AR77" s="117" t="str">
        <f t="shared" si="9"/>
        <v/>
      </c>
      <c r="AS77" s="183">
        <f t="shared" si="12"/>
        <v>0</v>
      </c>
      <c r="AT77" s="183"/>
      <c r="AU77" s="183">
        <f t="shared" si="10"/>
        <v>0</v>
      </c>
      <c r="AV77" s="183">
        <f t="shared" si="13"/>
        <v>0</v>
      </c>
      <c r="AW77" s="117">
        <f t="shared" si="7"/>
        <v>0</v>
      </c>
      <c r="AX77" s="184">
        <f t="shared" si="8"/>
        <v>0</v>
      </c>
      <c r="AY77" s="117">
        <f t="shared" si="11"/>
        <v>0</v>
      </c>
      <c r="AZ77" s="117"/>
    </row>
    <row r="78" spans="44:52" s="14" customFormat="1" ht="14">
      <c r="AR78" s="117" t="str">
        <f t="shared" si="9"/>
        <v/>
      </c>
      <c r="AS78" s="183">
        <f t="shared" si="12"/>
        <v>0</v>
      </c>
      <c r="AT78" s="183"/>
      <c r="AU78" s="183">
        <f t="shared" si="10"/>
        <v>0</v>
      </c>
      <c r="AV78" s="183">
        <f t="shared" si="13"/>
        <v>0</v>
      </c>
      <c r="AW78" s="117">
        <f t="shared" si="7"/>
        <v>0</v>
      </c>
      <c r="AX78" s="184">
        <f t="shared" si="8"/>
        <v>0</v>
      </c>
      <c r="AY78" s="117">
        <f t="shared" si="11"/>
        <v>0</v>
      </c>
      <c r="AZ78" s="117"/>
    </row>
    <row r="79" spans="44:52" s="14" customFormat="1" ht="14">
      <c r="AR79" s="117" t="str">
        <f t="shared" si="9"/>
        <v/>
      </c>
      <c r="AS79" s="183">
        <f t="shared" si="12"/>
        <v>0</v>
      </c>
      <c r="AT79" s="183"/>
      <c r="AU79" s="183">
        <f t="shared" si="10"/>
        <v>0</v>
      </c>
      <c r="AV79" s="183">
        <f t="shared" si="13"/>
        <v>0</v>
      </c>
      <c r="AW79" s="117">
        <f t="shared" si="7"/>
        <v>0</v>
      </c>
      <c r="AX79" s="184">
        <f t="shared" si="8"/>
        <v>0</v>
      </c>
      <c r="AY79" s="117">
        <f t="shared" si="11"/>
        <v>0</v>
      </c>
      <c r="AZ79" s="117"/>
    </row>
    <row r="80" spans="44:52" s="14" customFormat="1" ht="14">
      <c r="AR80" s="117" t="str">
        <f t="shared" si="9"/>
        <v/>
      </c>
      <c r="AS80" s="183">
        <f t="shared" si="12"/>
        <v>0</v>
      </c>
      <c r="AT80" s="183"/>
      <c r="AU80" s="183">
        <f t="shared" si="10"/>
        <v>0</v>
      </c>
      <c r="AV80" s="183">
        <f t="shared" si="13"/>
        <v>0</v>
      </c>
      <c r="AW80" s="117">
        <f t="shared" si="7"/>
        <v>0</v>
      </c>
      <c r="AX80" s="184">
        <f t="shared" si="8"/>
        <v>0</v>
      </c>
      <c r="AY80" s="117">
        <f t="shared" si="11"/>
        <v>0</v>
      </c>
      <c r="AZ80" s="117"/>
    </row>
    <row r="81" spans="44:52" s="14" customFormat="1" ht="14">
      <c r="AR81" s="117" t="str">
        <f t="shared" si="9"/>
        <v/>
      </c>
      <c r="AS81" s="183">
        <f t="shared" si="12"/>
        <v>0</v>
      </c>
      <c r="AT81" s="183"/>
      <c r="AU81" s="183">
        <f t="shared" si="10"/>
        <v>0</v>
      </c>
      <c r="AV81" s="183">
        <f t="shared" si="13"/>
        <v>0</v>
      </c>
      <c r="AW81" s="117">
        <f t="shared" ref="AW81:AW113" si="14">IF(ISNUMBER(AR82),SUM(AT81:AU81),SUM(AT81:AV81))</f>
        <v>0</v>
      </c>
      <c r="AX81" s="184">
        <f t="shared" si="8"/>
        <v>0</v>
      </c>
      <c r="AY81" s="117">
        <f t="shared" si="11"/>
        <v>0</v>
      </c>
      <c r="AZ81" s="117"/>
    </row>
    <row r="82" spans="44:52" s="14" customFormat="1" ht="14">
      <c r="AR82" s="117" t="str">
        <f t="shared" si="9"/>
        <v/>
      </c>
      <c r="AS82" s="183">
        <f t="shared" si="12"/>
        <v>0</v>
      </c>
      <c r="AT82" s="183"/>
      <c r="AU82" s="183">
        <f t="shared" si="10"/>
        <v>0</v>
      </c>
      <c r="AV82" s="183">
        <f t="shared" si="13"/>
        <v>0</v>
      </c>
      <c r="AW82" s="117">
        <f t="shared" si="14"/>
        <v>0</v>
      </c>
      <c r="AX82" s="184">
        <f t="shared" si="8"/>
        <v>0</v>
      </c>
      <c r="AY82" s="117">
        <f t="shared" si="11"/>
        <v>0</v>
      </c>
      <c r="AZ82" s="117"/>
    </row>
    <row r="83" spans="44:52" s="14" customFormat="1" ht="14">
      <c r="AR83" s="117" t="str">
        <f t="shared" si="9"/>
        <v/>
      </c>
      <c r="AS83" s="183">
        <f t="shared" si="12"/>
        <v>0</v>
      </c>
      <c r="AT83" s="183"/>
      <c r="AU83" s="183">
        <f t="shared" si="10"/>
        <v>0</v>
      </c>
      <c r="AV83" s="183">
        <f t="shared" si="13"/>
        <v>0</v>
      </c>
      <c r="AW83" s="117">
        <f t="shared" si="14"/>
        <v>0</v>
      </c>
      <c r="AX83" s="184">
        <f t="shared" si="8"/>
        <v>0</v>
      </c>
      <c r="AY83" s="117">
        <f t="shared" si="11"/>
        <v>0</v>
      </c>
      <c r="AZ83" s="117"/>
    </row>
    <row r="84" spans="44:52" s="14" customFormat="1" ht="14">
      <c r="AR84" s="117" t="str">
        <f t="shared" si="9"/>
        <v/>
      </c>
      <c r="AS84" s="183">
        <f t="shared" si="12"/>
        <v>0</v>
      </c>
      <c r="AT84" s="183"/>
      <c r="AU84" s="183">
        <f t="shared" si="10"/>
        <v>0</v>
      </c>
      <c r="AV84" s="183">
        <f t="shared" si="13"/>
        <v>0</v>
      </c>
      <c r="AW84" s="117">
        <f t="shared" si="14"/>
        <v>0</v>
      </c>
      <c r="AX84" s="184">
        <f t="shared" si="8"/>
        <v>0</v>
      </c>
      <c r="AY84" s="117">
        <f t="shared" si="11"/>
        <v>0</v>
      </c>
      <c r="AZ84" s="117"/>
    </row>
    <row r="85" spans="44:52" s="14" customFormat="1" ht="14">
      <c r="AR85" s="117" t="str">
        <f t="shared" si="9"/>
        <v/>
      </c>
      <c r="AS85" s="183">
        <f t="shared" si="12"/>
        <v>0</v>
      </c>
      <c r="AT85" s="183"/>
      <c r="AU85" s="183">
        <f t="shared" si="10"/>
        <v>0</v>
      </c>
      <c r="AV85" s="183">
        <f t="shared" si="13"/>
        <v>0</v>
      </c>
      <c r="AW85" s="117">
        <f t="shared" si="14"/>
        <v>0</v>
      </c>
      <c r="AX85" s="184">
        <f t="shared" si="8"/>
        <v>0</v>
      </c>
      <c r="AY85" s="117">
        <f t="shared" si="11"/>
        <v>0</v>
      </c>
      <c r="AZ85" s="117"/>
    </row>
    <row r="86" spans="44:52" s="14" customFormat="1" ht="14">
      <c r="AR86" s="117" t="str">
        <f t="shared" si="9"/>
        <v/>
      </c>
      <c r="AS86" s="183">
        <f t="shared" si="12"/>
        <v>0</v>
      </c>
      <c r="AT86" s="183"/>
      <c r="AU86" s="183">
        <f t="shared" si="10"/>
        <v>0</v>
      </c>
      <c r="AV86" s="183">
        <f t="shared" si="13"/>
        <v>0</v>
      </c>
      <c r="AW86" s="117">
        <f t="shared" si="14"/>
        <v>0</v>
      </c>
      <c r="AX86" s="184">
        <f t="shared" si="8"/>
        <v>0</v>
      </c>
      <c r="AY86" s="117">
        <f t="shared" si="11"/>
        <v>0</v>
      </c>
      <c r="AZ86" s="117"/>
    </row>
    <row r="87" spans="44:52" s="14" customFormat="1" ht="14">
      <c r="AR87" s="117" t="str">
        <f t="shared" si="9"/>
        <v/>
      </c>
      <c r="AS87" s="183">
        <f t="shared" si="12"/>
        <v>0</v>
      </c>
      <c r="AT87" s="183"/>
      <c r="AU87" s="183">
        <f t="shared" si="10"/>
        <v>0</v>
      </c>
      <c r="AV87" s="183">
        <f t="shared" si="13"/>
        <v>0</v>
      </c>
      <c r="AW87" s="117">
        <f t="shared" si="14"/>
        <v>0</v>
      </c>
      <c r="AX87" s="184">
        <f t="shared" si="8"/>
        <v>0</v>
      </c>
      <c r="AY87" s="117">
        <f t="shared" si="11"/>
        <v>0</v>
      </c>
      <c r="AZ87" s="117"/>
    </row>
    <row r="88" spans="44:52" s="14" customFormat="1" ht="14">
      <c r="AR88" s="117" t="str">
        <f t="shared" si="9"/>
        <v/>
      </c>
      <c r="AS88" s="183">
        <f t="shared" si="12"/>
        <v>0</v>
      </c>
      <c r="AT88" s="183"/>
      <c r="AU88" s="183">
        <f t="shared" si="10"/>
        <v>0</v>
      </c>
      <c r="AV88" s="183">
        <f t="shared" si="13"/>
        <v>0</v>
      </c>
      <c r="AW88" s="117">
        <f t="shared" si="14"/>
        <v>0</v>
      </c>
      <c r="AX88" s="184">
        <f t="shared" si="8"/>
        <v>0</v>
      </c>
      <c r="AY88" s="117">
        <f t="shared" si="11"/>
        <v>0</v>
      </c>
      <c r="AZ88" s="117"/>
    </row>
    <row r="89" spans="44:52" s="14" customFormat="1" ht="14">
      <c r="AR89" s="117" t="str">
        <f t="shared" si="9"/>
        <v/>
      </c>
      <c r="AS89" s="183">
        <f t="shared" si="12"/>
        <v>0</v>
      </c>
      <c r="AT89" s="183"/>
      <c r="AU89" s="183">
        <f t="shared" si="10"/>
        <v>0</v>
      </c>
      <c r="AV89" s="183">
        <f t="shared" si="13"/>
        <v>0</v>
      </c>
      <c r="AW89" s="117">
        <f t="shared" si="14"/>
        <v>0</v>
      </c>
      <c r="AX89" s="184">
        <f t="shared" si="8"/>
        <v>0</v>
      </c>
      <c r="AY89" s="117">
        <f t="shared" si="11"/>
        <v>0</v>
      </c>
      <c r="AZ89" s="117"/>
    </row>
    <row r="90" spans="44:52" s="14" customFormat="1" ht="14">
      <c r="AR90" s="117" t="str">
        <f t="shared" si="9"/>
        <v/>
      </c>
      <c r="AS90" s="183">
        <f t="shared" si="12"/>
        <v>0</v>
      </c>
      <c r="AT90" s="183"/>
      <c r="AU90" s="183">
        <f t="shared" si="10"/>
        <v>0</v>
      </c>
      <c r="AV90" s="183">
        <f t="shared" si="13"/>
        <v>0</v>
      </c>
      <c r="AW90" s="117">
        <f t="shared" si="14"/>
        <v>0</v>
      </c>
      <c r="AX90" s="184">
        <f t="shared" si="8"/>
        <v>0</v>
      </c>
      <c r="AY90" s="117">
        <f t="shared" si="11"/>
        <v>0</v>
      </c>
      <c r="AZ90" s="117"/>
    </row>
    <row r="91" spans="44:52" s="14" customFormat="1" ht="14">
      <c r="AR91" s="117" t="str">
        <f t="shared" si="9"/>
        <v/>
      </c>
      <c r="AS91" s="183">
        <f t="shared" si="12"/>
        <v>0</v>
      </c>
      <c r="AT91" s="183"/>
      <c r="AU91" s="183">
        <f t="shared" si="10"/>
        <v>0</v>
      </c>
      <c r="AV91" s="183">
        <f t="shared" si="13"/>
        <v>0</v>
      </c>
      <c r="AW91" s="117">
        <f t="shared" si="14"/>
        <v>0</v>
      </c>
      <c r="AX91" s="184">
        <f t="shared" si="8"/>
        <v>0</v>
      </c>
      <c r="AY91" s="117">
        <f t="shared" si="11"/>
        <v>0</v>
      </c>
      <c r="AZ91" s="117"/>
    </row>
    <row r="92" spans="44:52" s="14" customFormat="1" ht="14">
      <c r="AR92" s="117" t="str">
        <f t="shared" si="9"/>
        <v/>
      </c>
      <c r="AS92" s="183">
        <f t="shared" si="12"/>
        <v>0</v>
      </c>
      <c r="AT92" s="183"/>
      <c r="AU92" s="183">
        <f t="shared" si="10"/>
        <v>0</v>
      </c>
      <c r="AV92" s="183">
        <f t="shared" si="13"/>
        <v>0</v>
      </c>
      <c r="AW92" s="117">
        <f t="shared" si="14"/>
        <v>0</v>
      </c>
      <c r="AX92" s="184">
        <f t="shared" si="8"/>
        <v>0</v>
      </c>
      <c r="AY92" s="117">
        <f t="shared" si="11"/>
        <v>0</v>
      </c>
      <c r="AZ92" s="117"/>
    </row>
    <row r="93" spans="44:52" s="14" customFormat="1" ht="14">
      <c r="AR93" s="117" t="str">
        <f t="shared" si="9"/>
        <v/>
      </c>
      <c r="AS93" s="183">
        <f t="shared" si="12"/>
        <v>0</v>
      </c>
      <c r="AT93" s="183"/>
      <c r="AU93" s="183">
        <f t="shared" si="10"/>
        <v>0</v>
      </c>
      <c r="AV93" s="183">
        <f t="shared" si="13"/>
        <v>0</v>
      </c>
      <c r="AW93" s="117">
        <f t="shared" si="14"/>
        <v>0</v>
      </c>
      <c r="AX93" s="184">
        <f t="shared" si="8"/>
        <v>0</v>
      </c>
      <c r="AY93" s="117">
        <f t="shared" si="11"/>
        <v>0</v>
      </c>
      <c r="AZ93" s="117"/>
    </row>
    <row r="94" spans="44:52" s="14" customFormat="1" ht="14">
      <c r="AR94" s="117" t="str">
        <f t="shared" si="9"/>
        <v/>
      </c>
      <c r="AS94" s="183">
        <f t="shared" si="12"/>
        <v>0</v>
      </c>
      <c r="AT94" s="183"/>
      <c r="AU94" s="183">
        <f t="shared" si="10"/>
        <v>0</v>
      </c>
      <c r="AV94" s="183">
        <f t="shared" si="13"/>
        <v>0</v>
      </c>
      <c r="AW94" s="117">
        <f t="shared" si="14"/>
        <v>0</v>
      </c>
      <c r="AX94" s="184">
        <f t="shared" si="8"/>
        <v>0</v>
      </c>
      <c r="AY94" s="117">
        <f t="shared" si="11"/>
        <v>0</v>
      </c>
      <c r="AZ94" s="117"/>
    </row>
    <row r="95" spans="44:52" s="14" customFormat="1" ht="14">
      <c r="AR95" s="117" t="str">
        <f t="shared" si="9"/>
        <v/>
      </c>
      <c r="AS95" s="183">
        <f t="shared" si="12"/>
        <v>0</v>
      </c>
      <c r="AT95" s="183"/>
      <c r="AU95" s="183">
        <f t="shared" si="10"/>
        <v>0</v>
      </c>
      <c r="AV95" s="183">
        <f t="shared" si="13"/>
        <v>0</v>
      </c>
      <c r="AW95" s="117">
        <f t="shared" si="14"/>
        <v>0</v>
      </c>
      <c r="AX95" s="184">
        <f t="shared" si="8"/>
        <v>0</v>
      </c>
      <c r="AY95" s="117">
        <f t="shared" si="11"/>
        <v>0</v>
      </c>
      <c r="AZ95" s="117"/>
    </row>
    <row r="96" spans="44:52" s="14" customFormat="1" ht="14">
      <c r="AR96" s="117" t="str">
        <f t="shared" si="9"/>
        <v/>
      </c>
      <c r="AS96" s="183">
        <f t="shared" si="12"/>
        <v>0</v>
      </c>
      <c r="AT96" s="183"/>
      <c r="AU96" s="183">
        <f t="shared" si="10"/>
        <v>0</v>
      </c>
      <c r="AV96" s="183">
        <f t="shared" si="13"/>
        <v>0</v>
      </c>
      <c r="AW96" s="117">
        <f t="shared" si="14"/>
        <v>0</v>
      </c>
      <c r="AX96" s="184">
        <f t="shared" si="8"/>
        <v>0</v>
      </c>
      <c r="AY96" s="117">
        <f t="shared" si="11"/>
        <v>0</v>
      </c>
      <c r="AZ96" s="117"/>
    </row>
    <row r="97" spans="44:52" s="14" customFormat="1" ht="14">
      <c r="AR97" s="117" t="str">
        <f t="shared" si="9"/>
        <v/>
      </c>
      <c r="AS97" s="183">
        <f t="shared" si="12"/>
        <v>0</v>
      </c>
      <c r="AT97" s="183"/>
      <c r="AU97" s="183">
        <f t="shared" si="10"/>
        <v>0</v>
      </c>
      <c r="AV97" s="183">
        <f t="shared" si="13"/>
        <v>0</v>
      </c>
      <c r="AW97" s="117">
        <f t="shared" si="14"/>
        <v>0</v>
      </c>
      <c r="AX97" s="184">
        <f t="shared" si="8"/>
        <v>0</v>
      </c>
      <c r="AY97" s="117">
        <f t="shared" si="11"/>
        <v>0</v>
      </c>
      <c r="AZ97" s="117"/>
    </row>
    <row r="98" spans="44:52" s="14" customFormat="1" ht="14">
      <c r="AR98" s="117" t="str">
        <f t="shared" si="9"/>
        <v/>
      </c>
      <c r="AS98" s="183">
        <f t="shared" si="12"/>
        <v>0</v>
      </c>
      <c r="AT98" s="183"/>
      <c r="AU98" s="183">
        <f t="shared" si="10"/>
        <v>0</v>
      </c>
      <c r="AV98" s="183">
        <f t="shared" si="13"/>
        <v>0</v>
      </c>
      <c r="AW98" s="117">
        <f t="shared" si="14"/>
        <v>0</v>
      </c>
      <c r="AX98" s="184">
        <f t="shared" si="8"/>
        <v>0</v>
      </c>
      <c r="AY98" s="117">
        <f t="shared" si="11"/>
        <v>0</v>
      </c>
      <c r="AZ98" s="117"/>
    </row>
    <row r="99" spans="44:52" s="14" customFormat="1" ht="14">
      <c r="AR99" s="117" t="str">
        <f t="shared" si="9"/>
        <v/>
      </c>
      <c r="AS99" s="183">
        <f t="shared" si="12"/>
        <v>0</v>
      </c>
      <c r="AT99" s="183"/>
      <c r="AU99" s="183">
        <f t="shared" si="10"/>
        <v>0</v>
      </c>
      <c r="AV99" s="183">
        <f t="shared" si="13"/>
        <v>0</v>
      </c>
      <c r="AW99" s="117">
        <f t="shared" si="14"/>
        <v>0</v>
      </c>
      <c r="AX99" s="184">
        <f t="shared" si="8"/>
        <v>0</v>
      </c>
      <c r="AY99" s="117">
        <f t="shared" si="11"/>
        <v>0</v>
      </c>
      <c r="AZ99" s="117"/>
    </row>
    <row r="100" spans="44:52" s="14" customFormat="1" ht="14">
      <c r="AR100" s="117" t="str">
        <f t="shared" si="9"/>
        <v/>
      </c>
      <c r="AS100" s="183">
        <f t="shared" si="12"/>
        <v>0</v>
      </c>
      <c r="AT100" s="183"/>
      <c r="AU100" s="183">
        <f t="shared" si="10"/>
        <v>0</v>
      </c>
      <c r="AV100" s="183">
        <f t="shared" si="13"/>
        <v>0</v>
      </c>
      <c r="AW100" s="117">
        <f t="shared" si="14"/>
        <v>0</v>
      </c>
      <c r="AX100" s="184">
        <f t="shared" si="8"/>
        <v>0</v>
      </c>
      <c r="AY100" s="117">
        <f t="shared" si="11"/>
        <v>0</v>
      </c>
      <c r="AZ100" s="117"/>
    </row>
    <row r="101" spans="44:52" s="14" customFormat="1" ht="14">
      <c r="AR101" s="117" t="str">
        <f t="shared" si="9"/>
        <v/>
      </c>
      <c r="AS101" s="183">
        <f t="shared" si="12"/>
        <v>0</v>
      </c>
      <c r="AT101" s="183"/>
      <c r="AU101" s="183">
        <f t="shared" si="10"/>
        <v>0</v>
      </c>
      <c r="AV101" s="183">
        <f t="shared" si="13"/>
        <v>0</v>
      </c>
      <c r="AW101" s="117">
        <f t="shared" si="14"/>
        <v>0</v>
      </c>
      <c r="AX101" s="184">
        <f t="shared" si="8"/>
        <v>0</v>
      </c>
      <c r="AY101" s="117">
        <f t="shared" si="11"/>
        <v>0</v>
      </c>
      <c r="AZ101" s="117"/>
    </row>
    <row r="102" spans="44:52" s="14" customFormat="1" ht="14">
      <c r="AR102" s="117" t="str">
        <f t="shared" si="9"/>
        <v/>
      </c>
      <c r="AS102" s="183">
        <f t="shared" si="12"/>
        <v>0</v>
      </c>
      <c r="AT102" s="183"/>
      <c r="AU102" s="183">
        <f t="shared" si="10"/>
        <v>0</v>
      </c>
      <c r="AV102" s="183">
        <f t="shared" si="13"/>
        <v>0</v>
      </c>
      <c r="AW102" s="117">
        <f t="shared" si="14"/>
        <v>0</v>
      </c>
      <c r="AX102" s="184">
        <f t="shared" ref="AX102:AX113" si="15">LN(AW102+$J$36)-LN($J$36)</f>
        <v>0</v>
      </c>
      <c r="AY102" s="117">
        <f t="shared" si="11"/>
        <v>0</v>
      </c>
      <c r="AZ102" s="117"/>
    </row>
    <row r="103" spans="44:52" s="14" customFormat="1" ht="14">
      <c r="AR103" s="117" t="str">
        <f t="shared" si="9"/>
        <v/>
      </c>
      <c r="AS103" s="183">
        <f t="shared" si="12"/>
        <v>0</v>
      </c>
      <c r="AT103" s="183"/>
      <c r="AU103" s="183">
        <f t="shared" si="10"/>
        <v>0</v>
      </c>
      <c r="AV103" s="183">
        <f t="shared" si="13"/>
        <v>0</v>
      </c>
      <c r="AW103" s="117">
        <f t="shared" si="14"/>
        <v>0</v>
      </c>
      <c r="AX103" s="184">
        <f t="shared" si="15"/>
        <v>0</v>
      </c>
      <c r="AY103" s="117">
        <f t="shared" si="11"/>
        <v>0</v>
      </c>
      <c r="AZ103" s="117"/>
    </row>
    <row r="104" spans="44:52" s="14" customFormat="1" ht="14">
      <c r="AR104" s="117" t="str">
        <f t="shared" si="9"/>
        <v/>
      </c>
      <c r="AS104" s="183">
        <f t="shared" si="12"/>
        <v>0</v>
      </c>
      <c r="AT104" s="183"/>
      <c r="AU104" s="183">
        <f t="shared" si="10"/>
        <v>0</v>
      </c>
      <c r="AV104" s="183">
        <f t="shared" si="13"/>
        <v>0</v>
      </c>
      <c r="AW104" s="117">
        <f t="shared" si="14"/>
        <v>0</v>
      </c>
      <c r="AX104" s="184">
        <f t="shared" si="15"/>
        <v>0</v>
      </c>
      <c r="AY104" s="117">
        <f t="shared" si="11"/>
        <v>0</v>
      </c>
      <c r="AZ104" s="117"/>
    </row>
    <row r="105" spans="44:52" s="14" customFormat="1" ht="14">
      <c r="AR105" s="117" t="str">
        <f t="shared" si="9"/>
        <v/>
      </c>
      <c r="AS105" s="183">
        <f t="shared" si="12"/>
        <v>0</v>
      </c>
      <c r="AT105" s="183"/>
      <c r="AU105" s="183">
        <f t="shared" si="10"/>
        <v>0</v>
      </c>
      <c r="AV105" s="183">
        <f t="shared" si="13"/>
        <v>0</v>
      </c>
      <c r="AW105" s="117">
        <f t="shared" si="14"/>
        <v>0</v>
      </c>
      <c r="AX105" s="184">
        <f t="shared" si="15"/>
        <v>0</v>
      </c>
      <c r="AY105" s="117">
        <f t="shared" si="11"/>
        <v>0</v>
      </c>
      <c r="AZ105" s="117"/>
    </row>
    <row r="106" spans="44:52" s="14" customFormat="1" ht="14">
      <c r="AR106" s="117" t="str">
        <f t="shared" si="9"/>
        <v/>
      </c>
      <c r="AS106" s="183">
        <f t="shared" si="12"/>
        <v>0</v>
      </c>
      <c r="AT106" s="183"/>
      <c r="AU106" s="183">
        <f t="shared" si="10"/>
        <v>0</v>
      </c>
      <c r="AV106" s="183">
        <f t="shared" si="13"/>
        <v>0</v>
      </c>
      <c r="AW106" s="117">
        <f t="shared" si="14"/>
        <v>0</v>
      </c>
      <c r="AX106" s="184">
        <f t="shared" si="15"/>
        <v>0</v>
      </c>
      <c r="AY106" s="117">
        <f t="shared" si="11"/>
        <v>0</v>
      </c>
      <c r="AZ106" s="117"/>
    </row>
    <row r="107" spans="44:52" s="14" customFormat="1" ht="14">
      <c r="AR107" s="117" t="str">
        <f t="shared" si="9"/>
        <v/>
      </c>
      <c r="AS107" s="183">
        <f t="shared" si="12"/>
        <v>0</v>
      </c>
      <c r="AT107" s="183"/>
      <c r="AU107" s="183">
        <f t="shared" si="10"/>
        <v>0</v>
      </c>
      <c r="AV107" s="183">
        <f t="shared" si="13"/>
        <v>0</v>
      </c>
      <c r="AW107" s="117">
        <f t="shared" si="14"/>
        <v>0</v>
      </c>
      <c r="AX107" s="184">
        <f t="shared" si="15"/>
        <v>0</v>
      </c>
      <c r="AY107" s="117">
        <f t="shared" si="11"/>
        <v>0</v>
      </c>
      <c r="AZ107" s="117"/>
    </row>
    <row r="108" spans="44:52" s="14" customFormat="1" ht="14">
      <c r="AR108" s="117" t="str">
        <f t="shared" si="9"/>
        <v/>
      </c>
      <c r="AS108" s="183">
        <f t="shared" si="12"/>
        <v>0</v>
      </c>
      <c r="AT108" s="183"/>
      <c r="AU108" s="183">
        <f t="shared" si="10"/>
        <v>0</v>
      </c>
      <c r="AV108" s="183">
        <f t="shared" si="13"/>
        <v>0</v>
      </c>
      <c r="AW108" s="117">
        <f t="shared" si="14"/>
        <v>0</v>
      </c>
      <c r="AX108" s="184">
        <f t="shared" si="15"/>
        <v>0</v>
      </c>
      <c r="AY108" s="117">
        <f t="shared" si="11"/>
        <v>0</v>
      </c>
      <c r="AZ108" s="117"/>
    </row>
    <row r="109" spans="44:52" s="14" customFormat="1" ht="14">
      <c r="AR109" s="117" t="str">
        <f t="shared" si="9"/>
        <v/>
      </c>
      <c r="AS109" s="183">
        <f t="shared" si="12"/>
        <v>0</v>
      </c>
      <c r="AT109" s="183"/>
      <c r="AU109" s="183">
        <f t="shared" si="10"/>
        <v>0</v>
      </c>
      <c r="AV109" s="183">
        <f t="shared" si="13"/>
        <v>0</v>
      </c>
      <c r="AW109" s="117">
        <f t="shared" si="14"/>
        <v>0</v>
      </c>
      <c r="AX109" s="184">
        <f t="shared" si="15"/>
        <v>0</v>
      </c>
      <c r="AY109" s="117">
        <f t="shared" si="11"/>
        <v>0</v>
      </c>
      <c r="AZ109" s="117"/>
    </row>
    <row r="110" spans="44:52" s="14" customFormat="1" ht="14">
      <c r="AR110" s="117" t="str">
        <f t="shared" si="9"/>
        <v/>
      </c>
      <c r="AS110" s="183">
        <f t="shared" si="12"/>
        <v>0</v>
      </c>
      <c r="AT110" s="183"/>
      <c r="AU110" s="183">
        <f t="shared" si="10"/>
        <v>0</v>
      </c>
      <c r="AV110" s="183">
        <f t="shared" si="13"/>
        <v>0</v>
      </c>
      <c r="AW110" s="117">
        <f t="shared" si="14"/>
        <v>0</v>
      </c>
      <c r="AX110" s="184">
        <f t="shared" si="15"/>
        <v>0</v>
      </c>
      <c r="AY110" s="117">
        <f t="shared" si="11"/>
        <v>0</v>
      </c>
      <c r="AZ110" s="117"/>
    </row>
    <row r="111" spans="44:52" s="14" customFormat="1" ht="14">
      <c r="AR111" s="117" t="str">
        <f t="shared" si="9"/>
        <v/>
      </c>
      <c r="AS111" s="183">
        <f t="shared" si="12"/>
        <v>0</v>
      </c>
      <c r="AT111" s="183"/>
      <c r="AU111" s="183">
        <f t="shared" si="10"/>
        <v>0</v>
      </c>
      <c r="AV111" s="183">
        <f t="shared" si="13"/>
        <v>0</v>
      </c>
      <c r="AW111" s="117">
        <f t="shared" si="14"/>
        <v>0</v>
      </c>
      <c r="AX111" s="184">
        <f t="shared" si="15"/>
        <v>0</v>
      </c>
      <c r="AY111" s="117">
        <f t="shared" si="11"/>
        <v>0</v>
      </c>
      <c r="AZ111" s="117"/>
    </row>
    <row r="112" spans="44:52" s="14" customFormat="1" ht="14">
      <c r="AR112" s="117" t="str">
        <f t="shared" si="9"/>
        <v/>
      </c>
      <c r="AS112" s="183">
        <f t="shared" si="12"/>
        <v>0</v>
      </c>
      <c r="AT112" s="183"/>
      <c r="AU112" s="183">
        <f t="shared" si="10"/>
        <v>0</v>
      </c>
      <c r="AV112" s="183">
        <f t="shared" si="13"/>
        <v>0</v>
      </c>
      <c r="AW112" s="117">
        <f t="shared" si="14"/>
        <v>0</v>
      </c>
      <c r="AX112" s="184">
        <f t="shared" si="15"/>
        <v>0</v>
      </c>
      <c r="AY112" s="117">
        <f t="shared" si="11"/>
        <v>0</v>
      </c>
      <c r="AZ112" s="117"/>
    </row>
    <row r="113" spans="44:52" s="14" customFormat="1" ht="14">
      <c r="AR113" s="117" t="str">
        <f t="shared" si="9"/>
        <v/>
      </c>
      <c r="AS113" s="183">
        <f t="shared" si="12"/>
        <v>0</v>
      </c>
      <c r="AT113" s="183"/>
      <c r="AU113" s="183">
        <f t="shared" si="10"/>
        <v>0</v>
      </c>
      <c r="AV113" s="183">
        <f t="shared" si="13"/>
        <v>0</v>
      </c>
      <c r="AW113" s="117">
        <f t="shared" si="14"/>
        <v>0</v>
      </c>
      <c r="AX113" s="184">
        <f t="shared" si="15"/>
        <v>0</v>
      </c>
      <c r="AY113" s="117">
        <f t="shared" si="11"/>
        <v>0</v>
      </c>
      <c r="AZ113" s="117"/>
    </row>
    <row r="114" spans="44:52" s="14" customFormat="1" ht="14">
      <c r="AZ114" s="117"/>
    </row>
    <row r="115" spans="44:52" s="14" customFormat="1" ht="14">
      <c r="AZ115" s="117"/>
    </row>
    <row r="116" spans="44:52" s="14" customFormat="1" ht="14">
      <c r="AZ116" s="117"/>
    </row>
    <row r="117" spans="44:52" s="14" customFormat="1" ht="14">
      <c r="AZ117" s="117"/>
    </row>
    <row r="118" spans="44:52" ht="14">
      <c r="AZ118"/>
    </row>
  </sheetData>
  <mergeCells count="59">
    <mergeCell ref="S2:T3"/>
    <mergeCell ref="B4:D5"/>
    <mergeCell ref="F4:G5"/>
    <mergeCell ref="T4:U4"/>
    <mergeCell ref="V4:W4"/>
    <mergeCell ref="T5:U5"/>
    <mergeCell ref="V5:W5"/>
    <mergeCell ref="C6:D6"/>
    <mergeCell ref="I6:J6"/>
    <mergeCell ref="L6:M6"/>
    <mergeCell ref="T6:U6"/>
    <mergeCell ref="V6:W6"/>
    <mergeCell ref="T10:U10"/>
    <mergeCell ref="T11:U11"/>
    <mergeCell ref="Q13:Q16"/>
    <mergeCell ref="T13:U13"/>
    <mergeCell ref="B14:B18"/>
    <mergeCell ref="C14:C15"/>
    <mergeCell ref="D14:D15"/>
    <mergeCell ref="F14:F15"/>
    <mergeCell ref="G14:G15"/>
    <mergeCell ref="T14:U14"/>
    <mergeCell ref="B7:B11"/>
    <mergeCell ref="Q8:Q11"/>
    <mergeCell ref="T8:U8"/>
    <mergeCell ref="C9:D9"/>
    <mergeCell ref="T9:U9"/>
    <mergeCell ref="T15:U15"/>
    <mergeCell ref="C16:C17"/>
    <mergeCell ref="D16:D17"/>
    <mergeCell ref="F16:F17"/>
    <mergeCell ref="G16:G17"/>
    <mergeCell ref="S16:T16"/>
    <mergeCell ref="Q18:Q19"/>
    <mergeCell ref="T18:U18"/>
    <mergeCell ref="V18:W18"/>
    <mergeCell ref="T19:U19"/>
    <mergeCell ref="V19:W19"/>
    <mergeCell ref="B23:E26"/>
    <mergeCell ref="Q25:Q28"/>
    <mergeCell ref="R29:V29"/>
    <mergeCell ref="R30:V30"/>
    <mergeCell ref="F31:F33"/>
    <mergeCell ref="R31:V31"/>
    <mergeCell ref="F21:F24"/>
    <mergeCell ref="R21:S22"/>
    <mergeCell ref="U21:W22"/>
    <mergeCell ref="G37:Q37"/>
    <mergeCell ref="R37:T37"/>
    <mergeCell ref="B35:B37"/>
    <mergeCell ref="D35:F35"/>
    <mergeCell ref="H35:I35"/>
    <mergeCell ref="J35:N35"/>
    <mergeCell ref="O35:P35"/>
    <mergeCell ref="D36:F36"/>
    <mergeCell ref="H36:I36"/>
    <mergeCell ref="J36:N36"/>
    <mergeCell ref="O36:P36"/>
    <mergeCell ref="D37:F37"/>
  </mergeCells>
  <hyperlinks>
    <hyperlink ref="G37" r:id="rId1" location="Grantstructure"/>
  </hyperlinks>
  <pageMargins left="0.7" right="0.7" top="0.75" bottom="0.75" header="0.3" footer="0.3"/>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Model</vt:lpstr>
      <vt:lpstr>Parameters</vt:lpstr>
      <vt:lpstr>Sources referenced</vt:lpstr>
      <vt:lpstr>Elie</vt:lpstr>
      <vt:lpstr>Alexander</vt:lpstr>
      <vt:lpstr>Holden</vt:lpstr>
      <vt:lpstr>Sean</vt:lpstr>
      <vt:lpstr>Ben</vt:lpstr>
      <vt:lpstr>Jake</vt:lpstr>
      <vt:lpstr>Tim</vt:lpstr>
      <vt:lpstr>Optimistic deworming, iodine</vt:lpstr>
      <vt:lpstr>Pessimistic deworming, iodine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2013-11-14T21:39:31Z</dcterms:created>
  <dcterms:modified xsi:type="dcterms:W3CDTF">2014-12-01T20:44:52Z</dcterms:modified>
</cp:coreProperties>
</file>