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416"/>
  <workbookPr showInkAnnotation="0" autoCompressPictures="0"/>
  <bookViews>
    <workbookView xWindow="0" yWindow="-20" windowWidth="25440" windowHeight="14900" tabRatio="698" firstSheet="1" activeTab="1"/>
  </bookViews>
  <sheets>
    <sheet name="Summary from SCI - Oct 2014" sheetId="9" r:id="rId1"/>
    <sheet name="Summary" sheetId="1" r:id="rId2"/>
    <sheet name="Combined with previous updates" sheetId="7" r:id="rId3"/>
    <sheet name="Exchange rates" sheetId="4" r:id="rId4"/>
    <sheet name="Due to GiveWell" sheetId="8" r:id="rId5"/>
    <sheet name="Compared to Nov 2013 plan" sheetId="10" r:id="rId6"/>
    <sheet name="Assets" sheetId="11" r:id="rId7"/>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B25" i="11" l="1"/>
  <c r="C6" i="8"/>
  <c r="D29" i="7"/>
  <c r="C47" i="1"/>
  <c r="C3" i="8"/>
  <c r="C4" i="8"/>
  <c r="C9" i="8"/>
  <c r="C49" i="1"/>
  <c r="B47" i="1"/>
  <c r="B49" i="1"/>
  <c r="I18" i="7"/>
  <c r="I22" i="7"/>
  <c r="I23" i="7"/>
  <c r="I35" i="7"/>
  <c r="F18" i="7"/>
  <c r="F19" i="7"/>
  <c r="F20" i="7"/>
  <c r="F21" i="7"/>
  <c r="E22" i="7"/>
  <c r="F22" i="7"/>
  <c r="F23" i="7"/>
  <c r="F24" i="7"/>
  <c r="F25" i="7"/>
  <c r="F26" i="7"/>
  <c r="F35" i="7"/>
  <c r="F13" i="7"/>
  <c r="I13" i="7"/>
  <c r="J13" i="7"/>
  <c r="E8" i="7"/>
  <c r="F8" i="7"/>
  <c r="I8" i="7"/>
  <c r="J8" i="7"/>
  <c r="E9" i="7"/>
  <c r="F9" i="7"/>
  <c r="I9" i="7"/>
  <c r="J9" i="7"/>
  <c r="E10" i="7"/>
  <c r="F10" i="7"/>
  <c r="I10" i="7"/>
  <c r="J10" i="7"/>
  <c r="E11" i="7"/>
  <c r="F11" i="7"/>
  <c r="I11" i="7"/>
  <c r="J11" i="7"/>
  <c r="F14" i="7"/>
  <c r="J14" i="7"/>
  <c r="E15" i="7"/>
  <c r="F15" i="7"/>
  <c r="I15" i="7"/>
  <c r="J15" i="7"/>
  <c r="E12" i="7"/>
  <c r="F12" i="7"/>
  <c r="I12" i="7"/>
  <c r="J12" i="7"/>
  <c r="E17" i="7"/>
  <c r="F17" i="7"/>
  <c r="J17" i="7"/>
  <c r="J18" i="7"/>
  <c r="J19" i="7"/>
  <c r="J20" i="7"/>
  <c r="J21" i="7"/>
  <c r="J22" i="7"/>
  <c r="J23" i="7"/>
  <c r="F16" i="7"/>
  <c r="I16" i="7"/>
  <c r="J16" i="7"/>
  <c r="J24" i="7"/>
  <c r="J25" i="7"/>
  <c r="J26" i="7"/>
  <c r="J29" i="7"/>
  <c r="K13" i="7"/>
  <c r="K26" i="7"/>
  <c r="K25" i="7"/>
  <c r="K24" i="7"/>
  <c r="K16" i="7"/>
  <c r="K23" i="7"/>
  <c r="K22" i="7"/>
  <c r="K21" i="7"/>
  <c r="K20" i="7"/>
  <c r="K19" i="7"/>
  <c r="K18" i="7"/>
  <c r="K17" i="7"/>
  <c r="K12" i="7"/>
  <c r="K15" i="7"/>
  <c r="K14" i="7"/>
  <c r="K11" i="7"/>
  <c r="K9" i="7"/>
  <c r="K10" i="7"/>
  <c r="K8" i="7"/>
  <c r="F29" i="7"/>
  <c r="G8" i="7"/>
  <c r="G10" i="7"/>
  <c r="G9" i="7"/>
  <c r="G11" i="7"/>
  <c r="G14" i="7"/>
  <c r="G15" i="7"/>
  <c r="G12" i="7"/>
  <c r="G17" i="7"/>
  <c r="G18" i="7"/>
  <c r="G19" i="7"/>
  <c r="G20" i="7"/>
  <c r="G21" i="7"/>
  <c r="G22" i="7"/>
  <c r="G23" i="7"/>
  <c r="G16" i="7"/>
  <c r="G24" i="7"/>
  <c r="G25" i="7"/>
  <c r="G26" i="7"/>
  <c r="G13" i="7"/>
  <c r="G29" i="7"/>
  <c r="O10" i="7"/>
  <c r="O9" i="7"/>
  <c r="O11" i="7"/>
  <c r="O14" i="7"/>
  <c r="O8" i="7"/>
  <c r="E29" i="7"/>
  <c r="C29" i="7"/>
  <c r="B29" i="7"/>
  <c r="I29" i="7"/>
  <c r="C5" i="1"/>
  <c r="B5" i="1"/>
  <c r="C24" i="1"/>
  <c r="B26" i="1"/>
  <c r="B24" i="11"/>
  <c r="B23" i="11"/>
  <c r="F31" i="7"/>
  <c r="F32" i="7"/>
  <c r="E32" i="7"/>
  <c r="B20" i="1"/>
  <c r="C20" i="1"/>
  <c r="H11" i="1"/>
  <c r="B7" i="1"/>
  <c r="C7" i="1"/>
  <c r="C26" i="1"/>
  <c r="B19" i="1"/>
  <c r="C2" i="1"/>
  <c r="C19" i="1"/>
  <c r="B22" i="1"/>
  <c r="C22" i="1"/>
  <c r="B9" i="1"/>
  <c r="B10" i="1"/>
  <c r="B11" i="1"/>
  <c r="B12" i="1"/>
  <c r="B13" i="1"/>
  <c r="B14" i="1"/>
  <c r="B15" i="1"/>
  <c r="B16" i="1"/>
  <c r="B17" i="1"/>
  <c r="B18" i="1"/>
  <c r="B21" i="1"/>
  <c r="B43" i="1"/>
  <c r="C43" i="1"/>
  <c r="G44" i="1"/>
  <c r="B30" i="1"/>
  <c r="C30" i="1"/>
  <c r="G31" i="1"/>
  <c r="B31" i="1"/>
  <c r="C31" i="1"/>
  <c r="G32" i="1"/>
  <c r="B32" i="1"/>
  <c r="C32" i="1"/>
  <c r="G33" i="1"/>
  <c r="B33" i="1"/>
  <c r="C33" i="1"/>
  <c r="G34" i="1"/>
  <c r="B34" i="1"/>
  <c r="C34" i="1"/>
  <c r="G35" i="1"/>
  <c r="B35" i="1"/>
  <c r="C35" i="1"/>
  <c r="G36" i="1"/>
  <c r="B36" i="1"/>
  <c r="C36" i="1"/>
  <c r="G37" i="1"/>
  <c r="B37" i="1"/>
  <c r="C37" i="1"/>
  <c r="G38" i="1"/>
  <c r="B38" i="1"/>
  <c r="C38" i="1"/>
  <c r="G39" i="1"/>
  <c r="B39" i="1"/>
  <c r="C39" i="1"/>
  <c r="G40" i="1"/>
  <c r="B40" i="1"/>
  <c r="C40" i="1"/>
  <c r="G41" i="1"/>
  <c r="B41" i="1"/>
  <c r="C41" i="1"/>
  <c r="G42" i="1"/>
  <c r="B42" i="1"/>
  <c r="C42" i="1"/>
  <c r="G43" i="1"/>
  <c r="H18" i="1"/>
  <c r="H44" i="1"/>
  <c r="H43" i="1"/>
  <c r="H42" i="1"/>
  <c r="H41" i="1"/>
  <c r="H40" i="1"/>
  <c r="H39" i="1"/>
  <c r="H38" i="1"/>
  <c r="H37" i="1"/>
  <c r="H36" i="1"/>
  <c r="H35" i="1"/>
  <c r="H34" i="1"/>
  <c r="H33" i="1"/>
  <c r="H32" i="1"/>
  <c r="H31" i="1"/>
  <c r="I32" i="1"/>
  <c r="J32" i="1"/>
  <c r="D17" i="1"/>
  <c r="D22" i="1"/>
  <c r="C9" i="1"/>
  <c r="C18" i="1"/>
  <c r="H9" i="1"/>
  <c r="I9" i="1"/>
  <c r="C21" i="1"/>
  <c r="H10" i="1"/>
  <c r="I10" i="1"/>
  <c r="C10" i="1"/>
  <c r="C12" i="1"/>
  <c r="C13" i="1"/>
  <c r="C14" i="1"/>
  <c r="C11" i="1"/>
  <c r="C15" i="1"/>
  <c r="C16" i="1"/>
  <c r="C17" i="1"/>
  <c r="I11" i="1"/>
  <c r="H12" i="1"/>
  <c r="I12" i="1"/>
  <c r="I13" i="1"/>
  <c r="H13" i="1"/>
  <c r="I31" i="1"/>
  <c r="I33" i="1"/>
  <c r="I35" i="1"/>
  <c r="I44" i="1"/>
  <c r="H19" i="1"/>
  <c r="J35" i="1"/>
  <c r="I31" i="9"/>
  <c r="I32" i="9"/>
  <c r="I33" i="9"/>
  <c r="I34" i="9"/>
  <c r="I35" i="9"/>
  <c r="I36" i="9"/>
  <c r="I37" i="9"/>
  <c r="I38" i="9"/>
  <c r="I39" i="9"/>
  <c r="I41" i="9"/>
  <c r="I42" i="9"/>
  <c r="I43" i="9"/>
  <c r="I44" i="9"/>
  <c r="I30" i="9"/>
  <c r="C28" i="1"/>
  <c r="B28" i="1"/>
  <c r="C4" i="10"/>
  <c r="C12" i="10"/>
  <c r="C5" i="10"/>
  <c r="C8" i="10"/>
  <c r="C9" i="10"/>
  <c r="C10" i="10"/>
  <c r="C11" i="10"/>
  <c r="C13" i="10"/>
  <c r="D19" i="1"/>
  <c r="B45" i="1"/>
  <c r="D20" i="1"/>
  <c r="D11" i="1"/>
  <c r="D9" i="1"/>
  <c r="D10" i="1"/>
  <c r="D13" i="1"/>
  <c r="D14" i="1"/>
  <c r="D15" i="1"/>
  <c r="D16" i="1"/>
  <c r="D18" i="1"/>
  <c r="D32" i="7"/>
  <c r="C32" i="7"/>
  <c r="B32" i="7"/>
  <c r="O15" i="7"/>
  <c r="P8" i="7"/>
  <c r="P10" i="7"/>
  <c r="P9" i="7"/>
  <c r="P11" i="7"/>
  <c r="P14" i="7"/>
  <c r="P15" i="7"/>
  <c r="C45" i="1"/>
  <c r="D21" i="1"/>
  <c r="D12" i="1"/>
  <c r="J33" i="1"/>
  <c r="H20" i="1"/>
  <c r="H21" i="1"/>
  <c r="I19" i="1"/>
  <c r="I20" i="1"/>
  <c r="I18" i="1"/>
  <c r="I21" i="1"/>
</calcChain>
</file>

<file path=xl/comments1.xml><?xml version="1.0" encoding="utf-8"?>
<comments xmlns="http://schemas.openxmlformats.org/spreadsheetml/2006/main">
  <authors>
    <author>Natalie Crispin</author>
  </authors>
  <commentList>
    <comment ref="B5" authorId="0">
      <text>
        <r>
          <rPr>
            <b/>
            <sz val="9"/>
            <color indexed="81"/>
            <rFont val="Calibri"/>
            <family val="2"/>
          </rPr>
          <t>Natalie Crispin:</t>
        </r>
        <r>
          <rPr>
            <sz val="9"/>
            <color indexed="81"/>
            <rFont val="Calibri"/>
            <family val="2"/>
          </rPr>
          <t xml:space="preserve">
In this update, SCI indicated that the way it had been reporting assets to us in the past may have included restricted funding. We do not know how much in restricted funding was included in the total we previous reported as "unrestricted assets," so here we calculate the starting balance from other data SCI provided</t>
        </r>
      </text>
    </comment>
    <comment ref="A7" authorId="0">
      <text>
        <r>
          <rPr>
            <b/>
            <sz val="9"/>
            <color indexed="81"/>
            <rFont val="Calibri"/>
            <family val="2"/>
          </rPr>
          <t>Natalie Crispin:</t>
        </r>
        <r>
          <rPr>
            <sz val="9"/>
            <color indexed="81"/>
            <rFont val="Calibri"/>
            <family val="2"/>
          </rPr>
          <t xml:space="preserve">
See Sheet 'Summary from SCI'</t>
        </r>
      </text>
    </comment>
    <comment ref="B24" authorId="0">
      <text>
        <r>
          <rPr>
            <b/>
            <sz val="9"/>
            <color indexed="81"/>
            <rFont val="Calibri"/>
            <family val="2"/>
          </rPr>
          <t>Natalie Crispin:</t>
        </r>
        <r>
          <rPr>
            <sz val="9"/>
            <color indexed="81"/>
            <rFont val="Calibri"/>
            <family val="2"/>
          </rPr>
          <t xml:space="preserve">
SCI unrestricted funds income (September 16, 2014)</t>
        </r>
      </text>
    </comment>
    <comment ref="B26" authorId="0">
      <text>
        <r>
          <rPr>
            <b/>
            <sz val="9"/>
            <color indexed="81"/>
            <rFont val="Calibri"/>
            <family val="2"/>
          </rPr>
          <t>Natalie Crispin:</t>
        </r>
        <r>
          <rPr>
            <sz val="9"/>
            <color indexed="81"/>
            <rFont val="Calibri"/>
            <family val="2"/>
          </rPr>
          <t xml:space="preserve">
Kieran Bird, email to GiveWell, November 3, 2014. We are unsure whether this figure includes some restricted funds</t>
        </r>
      </text>
    </comment>
    <comment ref="A28" authorId="0">
      <text>
        <r>
          <rPr>
            <b/>
            <sz val="9"/>
            <color indexed="81"/>
            <rFont val="Calibri"/>
            <family val="2"/>
          </rPr>
          <t>Natalie Crispin:</t>
        </r>
        <r>
          <rPr>
            <sz val="9"/>
            <color indexed="81"/>
            <rFont val="Calibri"/>
            <family val="2"/>
          </rPr>
          <t xml:space="preserve">
See sheet 'Commitments from SCI'</t>
        </r>
      </text>
    </comment>
  </commentList>
</comments>
</file>

<file path=xl/comments2.xml><?xml version="1.0" encoding="utf-8"?>
<comments xmlns="http://schemas.openxmlformats.org/spreadsheetml/2006/main">
  <authors>
    <author>Natalie Crispin</author>
  </authors>
  <commentList>
    <comment ref="B3" authorId="0">
      <text>
        <r>
          <rPr>
            <b/>
            <sz val="9"/>
            <color indexed="81"/>
            <rFont val="Calibri"/>
            <family val="2"/>
          </rPr>
          <t>Natalie Crispin:</t>
        </r>
        <r>
          <rPr>
            <sz val="9"/>
            <color indexed="81"/>
            <rFont val="Calibri"/>
            <family val="2"/>
          </rPr>
          <t xml:space="preserve">
http://www.givewell.org/files/DWDA%202009/SCI/SCI%20financial%20details%20and%20summary%202012%2011%2006.xls</t>
        </r>
      </text>
    </comment>
    <comment ref="C3" authorId="0">
      <text>
        <r>
          <rPr>
            <b/>
            <sz val="9"/>
            <color indexed="81"/>
            <rFont val="Calibri"/>
            <family val="2"/>
          </rPr>
          <t>Natalie Crispin:</t>
        </r>
        <r>
          <rPr>
            <sz val="9"/>
            <color indexed="81"/>
            <rFont val="Calibri"/>
            <family val="2"/>
          </rPr>
          <t xml:space="preserve">
http://www.givewell.org/files/DWDA%202009/SCI/SCI%20financial%20update%20(September%202013).xlsx</t>
        </r>
      </text>
    </comment>
  </commentList>
</comments>
</file>

<file path=xl/comments3.xml><?xml version="1.0" encoding="utf-8"?>
<comments xmlns="http://schemas.openxmlformats.org/spreadsheetml/2006/main">
  <authors>
    <author>Natalie Crispin</author>
  </authors>
  <commentList>
    <comment ref="B3" authorId="0">
      <text>
        <r>
          <rPr>
            <b/>
            <sz val="9"/>
            <color indexed="81"/>
            <rFont val="Calibri"/>
            <family val="2"/>
          </rPr>
          <t>Natalie Crispin:</t>
        </r>
        <r>
          <rPr>
            <sz val="9"/>
            <color indexed="81"/>
            <rFont val="Calibri"/>
            <family val="2"/>
          </rPr>
          <t xml:space="preserve">
http://www.givewell.org/international/top-charities/schistosomiasis-control-initiative#Roomformorefunds</t>
        </r>
      </text>
    </comment>
    <comment ref="C3" authorId="0">
      <text>
        <r>
          <rPr>
            <b/>
            <sz val="9"/>
            <color indexed="81"/>
            <rFont val="Calibri"/>
            <family val="2"/>
          </rPr>
          <t>Natalie Crispin:</t>
        </r>
        <r>
          <rPr>
            <sz val="9"/>
            <color indexed="81"/>
            <rFont val="Calibri"/>
            <family val="2"/>
          </rPr>
          <t xml:space="preserve">
SCI report to GiveWell (April 2014), Pgs 3 and 5-6
SCI described these figures as "the implementation funding priorities for 2014." We list them separate from commitments here, because we interpret SCI's statement to mean that there is a significant chance that these plans will change</t>
        </r>
      </text>
    </comment>
  </commentList>
</comments>
</file>

<file path=xl/sharedStrings.xml><?xml version="1.0" encoding="utf-8"?>
<sst xmlns="http://schemas.openxmlformats.org/spreadsheetml/2006/main" count="338" uniqueCount="233">
  <si>
    <t>Unrestricted funds</t>
  </si>
  <si>
    <t>GBP</t>
  </si>
  <si>
    <t>USD</t>
  </si>
  <si>
    <t>Advocacy &amp; Fundraising - Travel</t>
  </si>
  <si>
    <t>Advocacy &amp; Fundraising - Resources</t>
  </si>
  <si>
    <t>SCI Development - Salary</t>
  </si>
  <si>
    <t>SCI Development - Travel</t>
  </si>
  <si>
    <t>SCI Development Training</t>
  </si>
  <si>
    <t>SCI - Students Support</t>
  </si>
  <si>
    <t>Enhanced monitoring and evaluation</t>
  </si>
  <si>
    <t>Cote D'Ivoire</t>
  </si>
  <si>
    <t>DRC</t>
  </si>
  <si>
    <t>Ethiopia</t>
  </si>
  <si>
    <t>Madagascar</t>
  </si>
  <si>
    <t>Mauritania</t>
  </si>
  <si>
    <t>Mozambique</t>
  </si>
  <si>
    <t>Rwanda</t>
  </si>
  <si>
    <t>Senegal</t>
  </si>
  <si>
    <t>Yemen</t>
  </si>
  <si>
    <t>Zimbabwe</t>
  </si>
  <si>
    <t>Liberia</t>
  </si>
  <si>
    <t>TOTAL</t>
  </si>
  <si>
    <t xml:space="preserve">Enhanced Monitoring and Evaluation </t>
  </si>
  <si>
    <t>1 GBP =</t>
  </si>
  <si>
    <t>Period Average</t>
  </si>
  <si>
    <t>Period High</t>
  </si>
  <si>
    <t>Period Low</t>
  </si>
  <si>
    <t>http://www.oanda.com/currency/historical-rates/</t>
  </si>
  <si>
    <t>GBP / USD</t>
  </si>
  <si>
    <t>DFID-funded countries</t>
  </si>
  <si>
    <t>Malawi</t>
  </si>
  <si>
    <t>Uganda</t>
  </si>
  <si>
    <t>Total</t>
  </si>
  <si>
    <t>Expected timing of expenditure</t>
  </si>
  <si>
    <t>Total spending</t>
  </si>
  <si>
    <t>Operating costs</t>
  </si>
  <si>
    <t>Niger</t>
  </si>
  <si>
    <t>Spending, by line item:</t>
  </si>
  <si>
    <t>October 2012 to August 2013</t>
  </si>
  <si>
    <t>November 2011 to October 2012</t>
  </si>
  <si>
    <t>Reporting period</t>
  </si>
  <si>
    <t>Combined</t>
  </si>
  <si>
    <t>October 2013 update</t>
  </si>
  <si>
    <t>November 2012 update</t>
  </si>
  <si>
    <t>Start date</t>
  </si>
  <si>
    <t>End date</t>
  </si>
  <si>
    <t>Amount</t>
  </si>
  <si>
    <t>Source</t>
  </si>
  <si>
    <t>http://www.givewell.org/about/impact</t>
  </si>
  <si>
    <t>Countries not funded by restricted funds</t>
  </si>
  <si>
    <t>General organization cost</t>
  </si>
  <si>
    <t>Other</t>
  </si>
  <si>
    <t>Sum in GBP</t>
  </si>
  <si>
    <t>SCI expenditure category</t>
  </si>
  <si>
    <t>SCI Development - Office Support</t>
  </si>
  <si>
    <t xml:space="preserve">Sub total </t>
  </si>
  <si>
    <t xml:space="preserve">Grand Total </t>
  </si>
  <si>
    <t>Zanzibar</t>
  </si>
  <si>
    <t>Spending summary:</t>
  </si>
  <si>
    <t>May 2014 update</t>
  </si>
  <si>
    <t>September 2013 to March 2014</t>
  </si>
  <si>
    <t>Countries funded by other restricted funds</t>
  </si>
  <si>
    <t>Spending per month</t>
  </si>
  <si>
    <t>Number of months</t>
  </si>
  <si>
    <t>Sudan</t>
  </si>
  <si>
    <t>Country</t>
  </si>
  <si>
    <t>[Not in plan]</t>
  </si>
  <si>
    <t>[Not specifically in plan]</t>
  </si>
  <si>
    <t>Ugandan islands</t>
  </si>
  <si>
    <t>$333,333 [expected to raise $1 million for 3 years before commiting to program]</t>
  </si>
  <si>
    <t>About $4 million</t>
  </si>
  <si>
    <t>Plans for 2014 as of November 2014 for first $4 million in additional funding</t>
  </si>
  <si>
    <t>This sheet calculated by GiveWell. Data for previous periods from previous GiveWell calculations. See comments for spreadsheets with full calculations.</t>
  </si>
  <si>
    <t>This sheet complied by GiveWell from sources SCI provided. See comments for source details.</t>
  </si>
  <si>
    <t>Plans for 2014 as of April 2014 + spending in Cote D'Ivoire and Zambia that was not yet committed as of our last update</t>
  </si>
  <si>
    <t>April 2014 to September 2014</t>
  </si>
  <si>
    <t>Expenditure by category of private donations 1 April 2014 – 16 September 2014</t>
  </si>
  <si>
    <t>Cote d'Ivoire</t>
  </si>
  <si>
    <t>In-Country Capacity Building</t>
  </si>
  <si>
    <t>Actual expenditure against commitments made since April 2014 – March 2015 andongoing commitments made pre April 2014</t>
  </si>
  <si>
    <t>Source: SCI report to GiveWell (September 2014), Pgs 3-4.</t>
  </si>
  <si>
    <t>Commitments since April 2014</t>
  </si>
  <si>
    <t>Salary costs</t>
  </si>
  <si>
    <t xml:space="preserve">Recipient </t>
  </si>
  <si>
    <t xml:space="preserve">SCI Expenditure Category </t>
  </si>
  <si>
    <t xml:space="preserve">Commitment </t>
  </si>
  <si>
    <t xml:space="preserve">Timeline for expenditure </t>
  </si>
  <si>
    <t xml:space="preserve">Actual Expenditure to 16 Sep14 </t>
  </si>
  <si>
    <t>Variance at 16 Sep14</t>
  </si>
  <si>
    <t xml:space="preserve">% Variance </t>
  </si>
  <si>
    <r>
      <t>Cote D'Ivoire</t>
    </r>
    <r>
      <rPr>
        <b/>
        <vertAlign val="superscript"/>
        <sz val="10"/>
        <color rgb="FF000000"/>
        <rFont val="Calibri"/>
        <scheme val="minor"/>
      </rPr>
      <t>1</t>
    </r>
  </si>
  <si>
    <t xml:space="preserve">Country programme </t>
  </si>
  <si>
    <t xml:space="preserve">Apr 14 - Mar15 </t>
  </si>
  <si>
    <t>£248,048</t>
  </si>
  <si>
    <r>
      <t>Ethiopia</t>
    </r>
    <r>
      <rPr>
        <b/>
        <vertAlign val="superscript"/>
        <sz val="10"/>
        <color rgb="FF000000"/>
        <rFont val="Calibri"/>
        <scheme val="minor"/>
      </rPr>
      <t>1</t>
    </r>
  </si>
  <si>
    <t>£24,348</t>
  </si>
  <si>
    <r>
      <t>Mozambique</t>
    </r>
    <r>
      <rPr>
        <b/>
        <vertAlign val="superscript"/>
        <sz val="10"/>
        <color rgb="FF000000"/>
        <rFont val="Calibri"/>
        <scheme val="minor"/>
      </rPr>
      <t>1</t>
    </r>
  </si>
  <si>
    <t>£254,150</t>
  </si>
  <si>
    <r>
      <t>Zanzibar</t>
    </r>
    <r>
      <rPr>
        <b/>
        <vertAlign val="superscript"/>
        <sz val="10"/>
        <color rgb="FF000000"/>
        <rFont val="Calibri"/>
        <scheme val="minor"/>
      </rPr>
      <t>1</t>
    </r>
  </si>
  <si>
    <t>£35,161</t>
  </si>
  <si>
    <r>
      <t>Sudan</t>
    </r>
    <r>
      <rPr>
        <b/>
        <vertAlign val="superscript"/>
        <sz val="10"/>
        <color rgb="FF000000"/>
        <rFont val="Calibri"/>
        <scheme val="minor"/>
      </rPr>
      <t>1</t>
    </r>
    <r>
      <rPr>
        <b/>
        <sz val="10"/>
        <color rgb="FF000000"/>
        <rFont val="Calibri"/>
        <scheme val="minor"/>
      </rPr>
      <t xml:space="preserve"> </t>
    </r>
  </si>
  <si>
    <t>Country programme</t>
  </si>
  <si>
    <t xml:space="preserve">Sep 14 – Mar 15 </t>
  </si>
  <si>
    <r>
      <t>Malawi</t>
    </r>
    <r>
      <rPr>
        <b/>
        <vertAlign val="superscript"/>
        <sz val="10"/>
        <color rgb="FF000000"/>
        <rFont val="Calibri"/>
        <scheme val="minor"/>
      </rPr>
      <t>1</t>
    </r>
  </si>
  <si>
    <t>£100,000</t>
  </si>
  <si>
    <r>
      <t>Liberia</t>
    </r>
    <r>
      <rPr>
        <b/>
        <vertAlign val="superscript"/>
        <sz val="10"/>
        <color rgb="FF000000"/>
        <rFont val="Calibri"/>
        <scheme val="minor"/>
      </rPr>
      <t>2</t>
    </r>
  </si>
  <si>
    <t>£28,939</t>
  </si>
  <si>
    <r>
      <t>Ugandan Ministry of Health</t>
    </r>
    <r>
      <rPr>
        <b/>
        <vertAlign val="superscript"/>
        <sz val="10"/>
        <color rgb="FF000000"/>
        <rFont val="Calibri"/>
        <scheme val="minor"/>
      </rPr>
      <t>4</t>
    </r>
  </si>
  <si>
    <t xml:space="preserve">In country capacity building </t>
  </si>
  <si>
    <t>£21,557</t>
  </si>
  <si>
    <r>
      <t>Salary costs</t>
    </r>
    <r>
      <rPr>
        <b/>
        <vertAlign val="superscript"/>
        <sz val="10"/>
        <color rgb="FF000000"/>
        <rFont val="Calibri"/>
        <scheme val="minor"/>
      </rPr>
      <t>5</t>
    </r>
  </si>
  <si>
    <t xml:space="preserve">SCI development - Salary costs </t>
  </si>
  <si>
    <t>£512,994</t>
  </si>
  <si>
    <t xml:space="preserve">Aug 14 - Dec 18 </t>
  </si>
  <si>
    <r>
      <t>AF travel</t>
    </r>
    <r>
      <rPr>
        <b/>
        <vertAlign val="superscript"/>
        <sz val="10"/>
        <color rgb="FF000000"/>
        <rFont val="Calibri"/>
        <scheme val="minor"/>
      </rPr>
      <t xml:space="preserve">6 </t>
    </r>
  </si>
  <si>
    <t xml:space="preserve">AF travel grant </t>
  </si>
  <si>
    <t>£50,000</t>
  </si>
  <si>
    <t xml:space="preserve">Aug 14 – Aug 16 </t>
  </si>
  <si>
    <t xml:space="preserve">Ongoing Commitments pre April 2014 </t>
  </si>
  <si>
    <r>
      <t>University of Queensland</t>
    </r>
    <r>
      <rPr>
        <b/>
        <vertAlign val="superscript"/>
        <sz val="10"/>
        <color rgb="FF000000"/>
        <rFont val="Calibri"/>
        <scheme val="minor"/>
      </rPr>
      <t>7</t>
    </r>
    <r>
      <rPr>
        <b/>
        <sz val="10"/>
        <color rgb="FF000000"/>
        <rFont val="Calibri"/>
        <scheme val="minor"/>
      </rPr>
      <t xml:space="preserve">   </t>
    </r>
  </si>
  <si>
    <t xml:space="preserve">Enhanced M&amp;E </t>
  </si>
  <si>
    <t>£10,363</t>
  </si>
  <si>
    <t>Oct 13 -Sep 16</t>
  </si>
  <si>
    <r>
      <t>Senegal Ministry of Health</t>
    </r>
    <r>
      <rPr>
        <b/>
        <vertAlign val="superscript"/>
        <sz val="10"/>
        <color rgb="FF000000"/>
        <rFont val="Calibri"/>
        <scheme val="minor"/>
      </rPr>
      <t>3</t>
    </r>
  </si>
  <si>
    <t>Jan 14-Jan 18</t>
  </si>
  <si>
    <t>£153,776</t>
  </si>
  <si>
    <r>
      <t xml:space="preserve">University of Antwerp </t>
    </r>
    <r>
      <rPr>
        <b/>
        <vertAlign val="superscript"/>
        <sz val="10"/>
        <color rgb="FF000000"/>
        <rFont val="Calibri"/>
        <scheme val="minor"/>
      </rPr>
      <t>4</t>
    </r>
  </si>
  <si>
    <t xml:space="preserve">Sep13-Aug 17 </t>
  </si>
  <si>
    <t>£25,077</t>
  </si>
  <si>
    <r>
      <t>Donor Management</t>
    </r>
    <r>
      <rPr>
        <b/>
        <vertAlign val="superscript"/>
        <sz val="10"/>
        <color rgb="FF000000"/>
        <rFont val="Calibri"/>
        <scheme val="minor"/>
      </rPr>
      <t>8</t>
    </r>
  </si>
  <si>
    <t xml:space="preserve">SCI Development </t>
  </si>
  <si>
    <t xml:space="preserve">Aug 13 – June 13 </t>
  </si>
  <si>
    <t>£1,130</t>
  </si>
  <si>
    <t>% of total unrestricted expenditure</t>
  </si>
  <si>
    <t xml:space="preserve">SCI Development - Office Support &amp; publications </t>
  </si>
  <si>
    <r>
      <t>SCI Development – Salary</t>
    </r>
    <r>
      <rPr>
        <vertAlign val="superscript"/>
        <sz val="11"/>
        <color rgb="FF000000"/>
        <rFont val="Calibri"/>
        <scheme val="minor"/>
      </rPr>
      <t>1</t>
    </r>
  </si>
  <si>
    <t>Country Programmes</t>
  </si>
  <si>
    <r>
      <t>Yemen</t>
    </r>
    <r>
      <rPr>
        <vertAlign val="superscript"/>
        <sz val="11"/>
        <color rgb="FF000000"/>
        <rFont val="Calibri"/>
        <scheme val="minor"/>
      </rPr>
      <t>2</t>
    </r>
  </si>
  <si>
    <t xml:space="preserve">In-country Capacity building </t>
  </si>
  <si>
    <r>
      <t>Enhanced Monitoring and Evaluation</t>
    </r>
    <r>
      <rPr>
        <vertAlign val="superscript"/>
        <sz val="11"/>
        <color rgb="FF000000"/>
        <rFont val="Calibri"/>
        <scheme val="minor"/>
      </rPr>
      <t>3</t>
    </r>
  </si>
  <si>
    <t>Ugandan Ministry of Health - in country capacity building</t>
  </si>
  <si>
    <t>Enhanced M&amp;E</t>
  </si>
  <si>
    <t>Alan Fenwick travel - funded by a restricted grant</t>
  </si>
  <si>
    <t>Over the next 3.5 years</t>
  </si>
  <si>
    <t>Senegal - capacity building for M&amp;E</t>
  </si>
  <si>
    <t>Donor management</t>
  </si>
  <si>
    <t>Over next 2 years</t>
  </si>
  <si>
    <t>Over next 3 years</t>
  </si>
  <si>
    <t>Unclear (says "Aug 13 - June 13")</t>
  </si>
  <si>
    <t>Over next 4 years</t>
  </si>
  <si>
    <t>By Mar 2015</t>
  </si>
  <si>
    <t>Added by GiveWell</t>
  </si>
  <si>
    <t>Remaining commitment</t>
  </si>
  <si>
    <t>In country capacity building</t>
  </si>
  <si>
    <t>Commitment summary:</t>
  </si>
  <si>
    <t>Country programs by March 2015</t>
  </si>
  <si>
    <t>Expected expenditure in next year</t>
  </si>
  <si>
    <t>Expected expenditure in 1-2 years from now</t>
  </si>
  <si>
    <t>Expected expenditure in 2-4 years from now</t>
  </si>
  <si>
    <t>Sep 8, 2014 - Sep 14, 2014</t>
  </si>
  <si>
    <t>Sep 1, 2014 - Sep 7, 2014</t>
  </si>
  <si>
    <t>Aug 25, 2014 - Aug 31, 2014</t>
  </si>
  <si>
    <t>Aug 18, 2014 - Aug 24, 2014</t>
  </si>
  <si>
    <t>Aug 11, 2014 - Aug 17, 2014</t>
  </si>
  <si>
    <t>Aug 4, 2014 - Aug 10, 2014</t>
  </si>
  <si>
    <t>Jul 28, 2014 - Aug 3, 2014</t>
  </si>
  <si>
    <t>Jul 21, 2014 - Jul 27, 2014</t>
  </si>
  <si>
    <t>Jul 14, 2014 - Jul 20, 2014</t>
  </si>
  <si>
    <t>Jul 7, 2014 - Jul 13, 2014</t>
  </si>
  <si>
    <t>Jun 30, 2014 - Jul 6, 2014</t>
  </si>
  <si>
    <t>Jun 23, 2014 - Jun 29, 2014</t>
  </si>
  <si>
    <t>Jun 16, 2014 - Jun 22, 2014</t>
  </si>
  <si>
    <t>Jun 9, 2014 - Jun 15, 2014</t>
  </si>
  <si>
    <t>Jun 2, 2014 - Jun 8, 2014</t>
  </si>
  <si>
    <t>May 26, 2014 - Jun 1, 2014</t>
  </si>
  <si>
    <t>May 19, 2014 - May 25, 2014</t>
  </si>
  <si>
    <t>May 12, 2014 - May 18, 2014</t>
  </si>
  <si>
    <t>May 5, 2014 - May 11, 2014</t>
  </si>
  <si>
    <t>Apr 28, 2014 - May 4, 2014</t>
  </si>
  <si>
    <t>Apr 21, 2014 - Apr 27, 2014</t>
  </si>
  <si>
    <t>Apr 14, 2014 - Apr 20, 2014</t>
  </si>
  <si>
    <t>Apr 7, 2014 - Apr 13, 2014</t>
  </si>
  <si>
    <t>Accessed September 30, 2014</t>
  </si>
  <si>
    <t>(Between April 1, 2013 and September 16, 2014, this rate ranged from 1.62 to 1.71 and averaged 1.68 according to http://www.oanda.com/currency/historical-rates/ - recorded in Sheet Exchange rates)</t>
  </si>
  <si>
    <t>Uncommitted unrestricted funds (Sep 16, 2014) [calculated]</t>
  </si>
  <si>
    <t xml:space="preserve">Ending balance (Sep 16, 2014) </t>
  </si>
  <si>
    <t>Spending (Apr 1 to Sep 16, 2014) [from SCI]</t>
  </si>
  <si>
    <t>Commitments (Sep 16, 2014) [from SCI, balances calculated]</t>
  </si>
  <si>
    <t>General organization costs</t>
  </si>
  <si>
    <t>In-country capacity building</t>
  </si>
  <si>
    <t>Source: SCI report to GiveWell (September 2014), Pg 2. Updated in SCI unrestricted funds report follow up.</t>
  </si>
  <si>
    <t>Award</t>
  </si>
  <si>
    <t>Award Name</t>
  </si>
  <si>
    <t>Budget</t>
  </si>
  <si>
    <t>Actual Cost</t>
  </si>
  <si>
    <t>Commitment Amount</t>
  </si>
  <si>
    <t>Total Cost</t>
  </si>
  <si>
    <t>Available Balance</t>
  </si>
  <si>
    <t>DFID_P10099</t>
  </si>
  <si>
    <t>General. Strengthen the schisto control</t>
  </si>
  <si>
    <t>WPIA_P36980</t>
  </si>
  <si>
    <t>Schistosomiasis in Burundi</t>
  </si>
  <si>
    <t>WPIA_P41895</t>
  </si>
  <si>
    <t>Rwanda project</t>
  </si>
  <si>
    <t>WPIA_P47483</t>
  </si>
  <si>
    <t>P47483 FENWICK IC TRUST Malawi Comic Relief</t>
  </si>
  <si>
    <t>WPIA_P46098</t>
  </si>
  <si>
    <t>Yemen 2013 MDA campaign</t>
  </si>
  <si>
    <t>WPIA_P52380</t>
  </si>
  <si>
    <t>Madagascar NTD treatment</t>
  </si>
  <si>
    <t>Total L account</t>
  </si>
  <si>
    <t>All IC Trust draw down P accounts</t>
  </si>
  <si>
    <t>Total ICT available reserves</t>
  </si>
  <si>
    <t>Total Balance</t>
  </si>
  <si>
    <t>Breakdown of IC Trust draw down to P accounts</t>
  </si>
  <si>
    <t>The total fund in all the accounts that hold unrestricted funds as of 16 Sept 2014</t>
  </si>
  <si>
    <t>Revenue (Apr 1 to Sep 16, 2014)</t>
  </si>
  <si>
    <t>Starting balance (Apr 1, 2014) [calculated]</t>
  </si>
  <si>
    <t>Total balance excluding known restricted assets</t>
  </si>
  <si>
    <t>Known restricted assets</t>
  </si>
  <si>
    <t>* It is unclear to us whether there are additional restricted assets held in the L and ICT accounts</t>
  </si>
  <si>
    <t>GiveWell internal records (one large donor who gave directly to SCI)</t>
  </si>
  <si>
    <t>November 2014 update</t>
  </si>
  <si>
    <t>Commitments</t>
  </si>
  <si>
    <t>Spending + Commitments</t>
  </si>
  <si>
    <t>% of spending</t>
  </si>
  <si>
    <t>As of September 2014</t>
  </si>
  <si>
    <t>% of total spending + commitments</t>
  </si>
  <si>
    <t>All time: November 2011 to September 2014</t>
  </si>
  <si>
    <t>Estimate of uncomitted unrestricted funds as of November 2014</t>
  </si>
  <si>
    <t>GiveWell funds not yet granted to SCI + large gift to SCI in November 2014</t>
  </si>
  <si>
    <t>GiveWell internal records. Is the amount tracked to SCI plus regranted funds allocated in Q1 and Q2 grants. Includes some funds from Q3 that have not been granted to SCI as of November 2014.</t>
  </si>
  <si>
    <t>Total balance excluding known restricted assets (USD)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</si>
</sst>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quot;$&quot;* #,##0_-;_-&quot;$&quot;* &quot;-&quot;_-;_-@_-"/>
    <numFmt numFmtId="164" formatCode="&quot;$&quot;#,##0_);[Red]\(&quot;$&quot;#,##0\)"/>
    <numFmt numFmtId="165" formatCode="&quot;$&quot;#,##0.00_);[Red]\(&quot;$&quot;#,##0.00\)"/>
    <numFmt numFmtId="166" formatCode="_(&quot;$&quot;* #,##0_);_(&quot;$&quot;* \(#,##0\);_(&quot;$&quot;* &quot;-&quot;_);_(@_)"/>
    <numFmt numFmtId="167" formatCode="_(&quot;$&quot;* #,##0.00_);_(&quot;$&quot;* \(#,##0.00\);_(&quot;$&quot;* &quot;-&quot;??_);_(@_)"/>
    <numFmt numFmtId="168" formatCode="_-[$£-809]* #,##0_-;\-[$£-809]* #,##0_-;_-[$£-809]* &quot;-&quot;_-;_-@_-"/>
    <numFmt numFmtId="169" formatCode="[$£-809]#,##0"/>
    <numFmt numFmtId="170" formatCode="&quot;$&quot;#,##0"/>
    <numFmt numFmtId="171" formatCode="0.0%"/>
  </numFmts>
  <fonts count="25" x14ac:knownFonts="1">
    <font>
      <sz val="12"/>
      <color theme="1"/>
      <name val="Calibri"/>
      <family val="2"/>
      <scheme val="minor"/>
    </font>
    <font>
      <b/>
      <sz val="12"/>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b/>
      <sz val="11"/>
      <color rgb="FF000000"/>
      <name val="Calibri"/>
      <scheme val="minor"/>
    </font>
    <font>
      <sz val="11"/>
      <color rgb="FF000000"/>
      <name val="Calibri"/>
      <scheme val="minor"/>
    </font>
    <font>
      <sz val="12"/>
      <color rgb="FF000000"/>
      <name val="Calibri"/>
      <family val="2"/>
      <scheme val="minor"/>
    </font>
    <font>
      <i/>
      <sz val="12"/>
      <color theme="1"/>
      <name val="Calibri"/>
      <scheme val="minor"/>
    </font>
    <font>
      <sz val="10"/>
      <name val="Verdana"/>
      <family val="2"/>
    </font>
    <font>
      <sz val="12"/>
      <color rgb="FFFF0000"/>
      <name val="Calibri"/>
      <family val="2"/>
      <scheme val="minor"/>
    </font>
    <font>
      <vertAlign val="superscript"/>
      <sz val="11"/>
      <color rgb="FF000000"/>
      <name val="Calibri"/>
      <scheme val="minor"/>
    </font>
    <font>
      <sz val="11"/>
      <color rgb="FF365F91"/>
      <name val="Calibri"/>
      <scheme val="minor"/>
    </font>
    <font>
      <b/>
      <sz val="9"/>
      <color rgb="FF000000"/>
      <name val="Calibri"/>
      <scheme val="minor"/>
    </font>
    <font>
      <b/>
      <sz val="10"/>
      <color rgb="FF000000"/>
      <name val="Calibri"/>
      <scheme val="minor"/>
    </font>
    <font>
      <b/>
      <vertAlign val="superscript"/>
      <sz val="10"/>
      <color rgb="FF000000"/>
      <name val="Calibri"/>
      <scheme val="minor"/>
    </font>
    <font>
      <sz val="10"/>
      <color rgb="FF000000"/>
      <name val="Calibri"/>
      <scheme val="minor"/>
    </font>
    <font>
      <sz val="12"/>
      <name val="Calibri"/>
      <scheme val="minor"/>
    </font>
    <font>
      <sz val="12"/>
      <color rgb="FF222222"/>
      <name val="Times New Roman"/>
      <family val="1"/>
    </font>
    <font>
      <sz val="11"/>
      <color rgb="FF000000"/>
      <name val="Calibri"/>
      <family val="2"/>
    </font>
    <font>
      <sz val="12"/>
      <color rgb="FF000000"/>
      <name val="Calibri"/>
      <family val="2"/>
    </font>
    <font>
      <b/>
      <sz val="12"/>
      <color rgb="FF222222"/>
      <name val="Times New Roman"/>
      <family val="1"/>
    </font>
    <font>
      <b/>
      <sz val="12"/>
      <color rgb="FF000000"/>
      <name val="Calibri"/>
      <family val="2"/>
    </font>
    <font>
      <b/>
      <sz val="11"/>
      <color rgb="FF000000"/>
      <name val="Calibri"/>
      <family val="2"/>
    </font>
  </fonts>
  <fills count="7">
    <fill>
      <patternFill patternType="none"/>
    </fill>
    <fill>
      <patternFill patternType="gray125"/>
    </fill>
    <fill>
      <patternFill patternType="solid">
        <fgColor rgb="FFB8CCE4"/>
        <bgColor indexed="64"/>
      </patternFill>
    </fill>
    <fill>
      <patternFill patternType="solid">
        <fgColor theme="8" tint="0.39997558519241921"/>
        <bgColor indexed="64"/>
      </patternFill>
    </fill>
    <fill>
      <patternFill patternType="solid">
        <fgColor rgb="FFD3DFEE"/>
        <bgColor indexed="64"/>
      </patternFill>
    </fill>
    <fill>
      <patternFill patternType="solid">
        <fgColor rgb="FFC6D9F1"/>
        <bgColor indexed="64"/>
      </patternFill>
    </fill>
    <fill>
      <patternFill patternType="solid">
        <fgColor theme="6" tint="0.39997558519241921"/>
        <bgColor indexed="64"/>
      </patternFill>
    </fill>
  </fills>
  <borders count="14">
    <border>
      <left/>
      <right/>
      <top/>
      <bottom/>
      <diagonal/>
    </border>
    <border>
      <left/>
      <right/>
      <top/>
      <bottom style="thin">
        <color auto="1"/>
      </bottom>
      <diagonal/>
    </border>
    <border>
      <left/>
      <right/>
      <top style="thin">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618">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12">
    <xf numFmtId="0" fontId="0" fillId="0" borderId="0" xfId="0"/>
    <xf numFmtId="168" fontId="0" fillId="0" borderId="0" xfId="0" applyNumberFormat="1"/>
    <xf numFmtId="3" fontId="0" fillId="0" borderId="0" xfId="0" applyNumberFormat="1"/>
    <xf numFmtId="166" fontId="0" fillId="0" borderId="0" xfId="0" applyNumberFormat="1"/>
    <xf numFmtId="0" fontId="0" fillId="0" borderId="0" xfId="0" applyAlignment="1">
      <alignment wrapText="1"/>
    </xf>
    <xf numFmtId="167" fontId="0" fillId="0" borderId="0" xfId="0" applyNumberFormat="1"/>
    <xf numFmtId="164" fontId="0" fillId="0" borderId="0" xfId="0" applyNumberFormat="1"/>
    <xf numFmtId="9" fontId="0" fillId="0" borderId="0" xfId="0" applyNumberFormat="1"/>
    <xf numFmtId="49" fontId="0" fillId="0" borderId="0" xfId="0" applyNumberFormat="1"/>
    <xf numFmtId="170" fontId="0" fillId="0" borderId="0" xfId="0" applyNumberFormat="1"/>
    <xf numFmtId="0" fontId="9" fillId="0" borderId="0" xfId="0" applyFont="1"/>
    <xf numFmtId="0" fontId="0" fillId="0" borderId="0" xfId="0"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wrapText="1"/>
    </xf>
    <xf numFmtId="166" fontId="0" fillId="0" borderId="0" xfId="0" applyNumberFormat="1" applyFont="1"/>
    <xf numFmtId="0" fontId="0" fillId="0" borderId="0" xfId="0" applyAlignment="1">
      <alignment horizontal="right" wrapText="1"/>
    </xf>
    <xf numFmtId="15" fontId="0" fillId="0" borderId="0" xfId="0" applyNumberFormat="1"/>
    <xf numFmtId="0" fontId="11" fillId="0" borderId="0" xfId="0" applyFont="1"/>
    <xf numFmtId="166" fontId="11" fillId="0" borderId="0" xfId="0" applyNumberFormat="1" applyFont="1" applyAlignment="1">
      <alignment wrapText="1"/>
    </xf>
    <xf numFmtId="0" fontId="0" fillId="3" borderId="0" xfId="0" applyFill="1"/>
    <xf numFmtId="166" fontId="0" fillId="3" borderId="0" xfId="0" applyNumberFormat="1" applyFill="1"/>
    <xf numFmtId="9" fontId="0" fillId="3" borderId="0" xfId="0" applyNumberFormat="1" applyFill="1"/>
    <xf numFmtId="9" fontId="0" fillId="3" borderId="1" xfId="0" applyNumberFormat="1" applyFill="1" applyBorder="1"/>
    <xf numFmtId="0" fontId="1" fillId="0" borderId="0" xfId="0" applyFont="1"/>
    <xf numFmtId="0" fontId="8" fillId="0" borderId="0" xfId="0" applyFont="1" applyFill="1"/>
    <xf numFmtId="0" fontId="0" fillId="0" borderId="0" xfId="0" applyFill="1"/>
    <xf numFmtId="9" fontId="0" fillId="3" borderId="2" xfId="0" applyNumberFormat="1" applyFill="1" applyBorder="1"/>
    <xf numFmtId="166" fontId="0" fillId="3" borderId="2" xfId="0" applyNumberFormat="1" applyFill="1" applyBorder="1"/>
    <xf numFmtId="166" fontId="1" fillId="0" borderId="0" xfId="0" applyNumberFormat="1" applyFont="1"/>
    <xf numFmtId="165" fontId="1" fillId="0" borderId="0" xfId="0" applyNumberFormat="1" applyFont="1"/>
    <xf numFmtId="171" fontId="0" fillId="0" borderId="0" xfId="0" applyNumberFormat="1"/>
    <xf numFmtId="0" fontId="9" fillId="0" borderId="0" xfId="0" applyFont="1" applyAlignment="1"/>
    <xf numFmtId="169" fontId="0" fillId="0" borderId="0" xfId="0" applyNumberFormat="1"/>
    <xf numFmtId="0" fontId="14" fillId="2" borderId="3" xfId="0" applyFont="1" applyFill="1" applyBorder="1" applyAlignment="1">
      <alignment vertical="center"/>
    </xf>
    <xf numFmtId="0" fontId="14" fillId="2" borderId="4" xfId="0" applyFont="1" applyFill="1" applyBorder="1" applyAlignment="1">
      <alignment vertical="center" wrapText="1"/>
    </xf>
    <xf numFmtId="0" fontId="14" fillId="2" borderId="4" xfId="0" applyFont="1" applyFill="1" applyBorder="1" applyAlignment="1">
      <alignment vertical="center"/>
    </xf>
    <xf numFmtId="0" fontId="15" fillId="0" borderId="6" xfId="0" applyFont="1" applyBorder="1" applyAlignment="1">
      <alignment vertical="center"/>
    </xf>
    <xf numFmtId="0" fontId="17" fillId="0" borderId="9" xfId="0" applyFont="1" applyBorder="1" applyAlignment="1">
      <alignment vertical="center"/>
    </xf>
    <xf numFmtId="0" fontId="17" fillId="0" borderId="9" xfId="0" applyFont="1" applyBorder="1" applyAlignment="1">
      <alignment horizontal="right" vertical="center"/>
    </xf>
    <xf numFmtId="10" fontId="17" fillId="0" borderId="9" xfId="0" applyNumberFormat="1" applyFont="1" applyBorder="1" applyAlignment="1">
      <alignment horizontal="right" vertical="center"/>
    </xf>
    <xf numFmtId="0" fontId="15" fillId="4" borderId="6" xfId="0" applyFont="1" applyFill="1" applyBorder="1" applyAlignment="1">
      <alignment vertical="center"/>
    </xf>
    <xf numFmtId="0" fontId="17" fillId="4" borderId="9" xfId="0" applyFont="1" applyFill="1" applyBorder="1" applyAlignment="1">
      <alignment vertical="center"/>
    </xf>
    <xf numFmtId="0" fontId="17" fillId="4" borderId="9" xfId="0" applyFont="1" applyFill="1" applyBorder="1" applyAlignment="1">
      <alignment horizontal="right" vertical="center"/>
    </xf>
    <xf numFmtId="10" fontId="17" fillId="4" borderId="9" xfId="0" applyNumberFormat="1" applyFont="1" applyFill="1" applyBorder="1" applyAlignment="1">
      <alignment horizontal="right" vertical="center"/>
    </xf>
    <xf numFmtId="3" fontId="17" fillId="0" borderId="9" xfId="0" applyNumberFormat="1" applyFont="1" applyBorder="1" applyAlignment="1">
      <alignment horizontal="right"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7" fillId="0" borderId="6" xfId="0" applyFont="1" applyBorder="1" applyAlignment="1">
      <alignment vertical="center"/>
    </xf>
    <xf numFmtId="10" fontId="7" fillId="0" borderId="9" xfId="0" applyNumberFormat="1" applyFont="1" applyBorder="1" applyAlignment="1">
      <alignment vertical="center"/>
    </xf>
    <xf numFmtId="0" fontId="6" fillId="5" borderId="6" xfId="0" applyFont="1" applyFill="1" applyBorder="1" applyAlignment="1">
      <alignment vertical="center"/>
    </xf>
    <xf numFmtId="10" fontId="6" fillId="5" borderId="9" xfId="0" applyNumberFormat="1" applyFont="1" applyFill="1" applyBorder="1" applyAlignment="1">
      <alignment vertical="center"/>
    </xf>
    <xf numFmtId="0" fontId="6" fillId="2" borderId="6" xfId="0" applyFont="1" applyFill="1" applyBorder="1" applyAlignment="1">
      <alignment vertical="center"/>
    </xf>
    <xf numFmtId="10" fontId="6" fillId="2" borderId="9" xfId="0" applyNumberFormat="1" applyFont="1" applyFill="1" applyBorder="1" applyAlignment="1">
      <alignment vertical="center"/>
    </xf>
    <xf numFmtId="0" fontId="17" fillId="0" borderId="10" xfId="0" applyFont="1" applyBorder="1" applyAlignment="1">
      <alignment vertical="center"/>
    </xf>
    <xf numFmtId="0" fontId="17" fillId="4" borderId="10" xfId="0" applyFont="1" applyFill="1" applyBorder="1" applyAlignment="1">
      <alignment vertical="center"/>
    </xf>
    <xf numFmtId="0" fontId="17" fillId="4" borderId="4" xfId="0" applyFont="1" applyFill="1" applyBorder="1" applyAlignment="1">
      <alignment vertical="center"/>
    </xf>
    <xf numFmtId="169" fontId="17" fillId="4" borderId="3" xfId="0" applyNumberFormat="1" applyFont="1" applyFill="1" applyBorder="1" applyAlignment="1">
      <alignment vertical="center"/>
    </xf>
    <xf numFmtId="169" fontId="17" fillId="0" borderId="3" xfId="0" applyNumberFormat="1" applyFont="1" applyBorder="1" applyAlignment="1">
      <alignment vertical="center"/>
    </xf>
    <xf numFmtId="0" fontId="14" fillId="2" borderId="3" xfId="0" applyFont="1" applyFill="1" applyBorder="1" applyAlignment="1">
      <alignment vertical="center" wrapText="1"/>
    </xf>
    <xf numFmtId="0" fontId="15" fillId="4" borderId="3" xfId="0" applyFont="1" applyFill="1" applyBorder="1" applyAlignment="1">
      <alignment vertical="center"/>
    </xf>
    <xf numFmtId="0" fontId="17" fillId="4" borderId="4" xfId="0" applyFont="1" applyFill="1" applyBorder="1" applyAlignment="1">
      <alignment horizontal="right" vertical="center"/>
    </xf>
    <xf numFmtId="10" fontId="17" fillId="4" borderId="4" xfId="0" applyNumberFormat="1" applyFont="1" applyFill="1" applyBorder="1" applyAlignment="1">
      <alignment horizontal="right" vertical="center"/>
    </xf>
    <xf numFmtId="169" fontId="7" fillId="0" borderId="9" xfId="0" applyNumberFormat="1" applyFont="1" applyBorder="1" applyAlignment="1">
      <alignment vertical="center"/>
    </xf>
    <xf numFmtId="169" fontId="6" fillId="5" borderId="9" xfId="0" applyNumberFormat="1" applyFont="1" applyFill="1" applyBorder="1" applyAlignment="1">
      <alignment vertical="center"/>
    </xf>
    <xf numFmtId="169" fontId="6" fillId="2" borderId="9" xfId="0" applyNumberFormat="1" applyFont="1" applyFill="1" applyBorder="1" applyAlignment="1">
      <alignment vertical="center"/>
    </xf>
    <xf numFmtId="0" fontId="6" fillId="2" borderId="4" xfId="0" applyFont="1" applyFill="1" applyBorder="1" applyAlignment="1">
      <alignment horizontal="center" vertical="center" wrapText="1"/>
    </xf>
    <xf numFmtId="169" fontId="17" fillId="0" borderId="9" xfId="0" applyNumberFormat="1" applyFont="1" applyBorder="1" applyAlignment="1">
      <alignment horizontal="right" vertical="center"/>
    </xf>
    <xf numFmtId="169" fontId="17" fillId="4" borderId="9" xfId="0" applyNumberFormat="1" applyFont="1" applyFill="1" applyBorder="1" applyAlignment="1">
      <alignment horizontal="right" vertical="center"/>
    </xf>
    <xf numFmtId="169" fontId="17" fillId="0" borderId="3" xfId="0" applyNumberFormat="1" applyFont="1" applyBorder="1" applyAlignment="1">
      <alignment horizontal="right" vertical="center"/>
    </xf>
    <xf numFmtId="169" fontId="17" fillId="4" borderId="6" xfId="0" applyNumberFormat="1" applyFont="1" applyFill="1" applyBorder="1" applyAlignment="1">
      <alignment horizontal="right" vertical="center"/>
    </xf>
    <xf numFmtId="169" fontId="17" fillId="0" borderId="6" xfId="0" applyNumberFormat="1" applyFont="1" applyBorder="1" applyAlignment="1">
      <alignment horizontal="right" vertical="center"/>
    </xf>
    <xf numFmtId="169" fontId="17" fillId="4" borderId="4" xfId="0" applyNumberFormat="1" applyFont="1" applyFill="1" applyBorder="1" applyAlignment="1">
      <alignment horizontal="right" vertical="center"/>
    </xf>
    <xf numFmtId="169" fontId="13" fillId="0" borderId="9" xfId="0" applyNumberFormat="1" applyFont="1" applyBorder="1" applyAlignment="1">
      <alignment horizontal="right" vertical="center"/>
    </xf>
    <xf numFmtId="0" fontId="14" fillId="0" borderId="0" xfId="0" applyFont="1" applyFill="1" applyBorder="1" applyAlignment="1">
      <alignment vertical="center" wrapText="1"/>
    </xf>
    <xf numFmtId="0" fontId="0" fillId="6" borderId="0" xfId="0" applyFill="1" applyAlignment="1">
      <alignment wrapText="1"/>
    </xf>
    <xf numFmtId="166" fontId="0" fillId="6" borderId="0" xfId="0" applyNumberFormat="1" applyFill="1"/>
    <xf numFmtId="9" fontId="0" fillId="6" borderId="0" xfId="0" applyNumberFormat="1" applyFill="1"/>
    <xf numFmtId="0" fontId="0" fillId="6" borderId="0" xfId="0" applyFill="1"/>
    <xf numFmtId="166" fontId="0" fillId="6" borderId="2" xfId="0" applyNumberFormat="1" applyFill="1" applyBorder="1"/>
    <xf numFmtId="9" fontId="0" fillId="6" borderId="2" xfId="0" applyNumberFormat="1" applyFill="1" applyBorder="1"/>
    <xf numFmtId="9" fontId="1" fillId="0" borderId="0" xfId="0" applyNumberFormat="1" applyFont="1"/>
    <xf numFmtId="0" fontId="18" fillId="0" borderId="0" xfId="0" applyFont="1" applyAlignment="1">
      <alignment wrapText="1"/>
    </xf>
    <xf numFmtId="0" fontId="1" fillId="0" borderId="0" xfId="0" applyFont="1" applyFill="1" applyAlignment="1">
      <alignment wrapText="1"/>
    </xf>
    <xf numFmtId="168" fontId="0" fillId="0" borderId="0" xfId="0" applyNumberFormat="1" applyFill="1"/>
    <xf numFmtId="42" fontId="0" fillId="0" borderId="0" xfId="0" applyNumberFormat="1"/>
    <xf numFmtId="0" fontId="20" fillId="0" borderId="0" xfId="0" applyFont="1"/>
    <xf numFmtId="0" fontId="19" fillId="0" borderId="0" xfId="0" applyFont="1"/>
    <xf numFmtId="0" fontId="21" fillId="0" borderId="0" xfId="0" applyFont="1"/>
    <xf numFmtId="0" fontId="23" fillId="0" borderId="0" xfId="0" applyFont="1"/>
    <xf numFmtId="0" fontId="22" fillId="0" borderId="0" xfId="0" applyFont="1"/>
    <xf numFmtId="0" fontId="24" fillId="0" borderId="0" xfId="0" applyFont="1"/>
    <xf numFmtId="168" fontId="20" fillId="0" borderId="0" xfId="0" applyNumberFormat="1" applyFont="1"/>
    <xf numFmtId="168" fontId="24" fillId="0" borderId="0" xfId="0" applyNumberFormat="1" applyFont="1"/>
    <xf numFmtId="3" fontId="21" fillId="0" borderId="0" xfId="0" applyNumberFormat="1" applyFont="1"/>
    <xf numFmtId="3" fontId="23" fillId="0" borderId="0" xfId="0" applyNumberFormat="1" applyFont="1"/>
    <xf numFmtId="168" fontId="1" fillId="0" borderId="0" xfId="0" applyNumberFormat="1" applyFont="1"/>
    <xf numFmtId="0" fontId="0" fillId="0" borderId="0" xfId="0" applyFill="1" applyAlignment="1">
      <alignment wrapText="1"/>
    </xf>
    <xf numFmtId="168" fontId="0" fillId="0" borderId="0" xfId="0" applyNumberFormat="1" applyFill="1" applyAlignment="1">
      <alignment horizontal="right"/>
    </xf>
    <xf numFmtId="0" fontId="0" fillId="0" borderId="0" xfId="0" applyFont="1" applyAlignment="1">
      <alignment wrapText="1"/>
    </xf>
    <xf numFmtId="0" fontId="6" fillId="2" borderId="11" xfId="0" applyFont="1" applyFill="1" applyBorder="1" applyAlignment="1">
      <alignment vertical="center"/>
    </xf>
    <xf numFmtId="0" fontId="6" fillId="2" borderId="12" xfId="0" applyFont="1" applyFill="1" applyBorder="1" applyAlignment="1">
      <alignment vertical="center"/>
    </xf>
    <xf numFmtId="0" fontId="6" fillId="2" borderId="13" xfId="0" applyFont="1" applyFill="1" applyBorder="1" applyAlignment="1">
      <alignment vertical="center"/>
    </xf>
    <xf numFmtId="0" fontId="6" fillId="2" borderId="7"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15" fillId="0" borderId="10" xfId="0" applyFont="1" applyBorder="1" applyAlignment="1">
      <alignment horizontal="center" vertical="center"/>
    </xf>
    <xf numFmtId="0" fontId="15" fillId="0" borderId="5" xfId="0" applyFont="1" applyBorder="1" applyAlignment="1">
      <alignment horizontal="center" vertical="center"/>
    </xf>
    <xf numFmtId="169" fontId="15" fillId="0" borderId="5" xfId="0" applyNumberFormat="1" applyFont="1" applyBorder="1" applyAlignment="1">
      <alignment horizontal="center" vertical="center"/>
    </xf>
    <xf numFmtId="0" fontId="15" fillId="0" borderId="4" xfId="0" applyFont="1" applyBorder="1" applyAlignment="1">
      <alignment horizontal="center" vertical="center"/>
    </xf>
    <xf numFmtId="0" fontId="6" fillId="4" borderId="10"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4" xfId="0" applyFont="1" applyFill="1" applyBorder="1" applyAlignment="1">
      <alignment horizontal="center" vertical="center"/>
    </xf>
  </cellXfs>
  <cellStyles count="61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Normal" xfId="0" builtinId="0"/>
    <cellStyle name="Normal 4" xfId="9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workbookViewId="0">
      <selection activeCell="A3" sqref="A3"/>
    </sheetView>
  </sheetViews>
  <sheetFormatPr baseColWidth="10" defaultRowHeight="15" x14ac:dyDescent="0"/>
  <cols>
    <col min="1" max="1" width="38.33203125" customWidth="1"/>
    <col min="2" max="2" width="22.6640625" customWidth="1"/>
    <col min="3" max="4" width="14.6640625" customWidth="1"/>
    <col min="8" max="8" width="2" customWidth="1"/>
    <col min="9" max="9" width="14" customWidth="1"/>
  </cols>
  <sheetData>
    <row r="1" spans="1:10">
      <c r="A1" s="23" t="s">
        <v>76</v>
      </c>
    </row>
    <row r="2" spans="1:10">
      <c r="A2" s="10" t="s">
        <v>190</v>
      </c>
    </row>
    <row r="3" spans="1:10" ht="16" thickBot="1">
      <c r="J3" s="1"/>
    </row>
    <row r="4" spans="1:10" ht="43" thickBot="1">
      <c r="A4" s="45" t="s">
        <v>53</v>
      </c>
      <c r="B4" s="46" t="s">
        <v>52</v>
      </c>
      <c r="C4" s="65" t="s">
        <v>133</v>
      </c>
      <c r="J4" s="1"/>
    </row>
    <row r="5" spans="1:10" ht="16" thickBot="1">
      <c r="A5" s="47" t="s">
        <v>4</v>
      </c>
      <c r="B5" s="62">
        <v>13339</v>
      </c>
      <c r="C5" s="48">
        <v>1.9199999999999998E-2</v>
      </c>
    </row>
    <row r="6" spans="1:10" ht="16" thickBot="1">
      <c r="A6" s="47" t="s">
        <v>3</v>
      </c>
      <c r="B6" s="62">
        <v>10147</v>
      </c>
      <c r="C6" s="48">
        <v>1.46E-2</v>
      </c>
    </row>
    <row r="7" spans="1:10" ht="16" thickBot="1">
      <c r="A7" s="47" t="s">
        <v>8</v>
      </c>
      <c r="B7" s="62">
        <v>6821</v>
      </c>
      <c r="C7" s="48">
        <v>9.7999999999999997E-3</v>
      </c>
    </row>
    <row r="8" spans="1:10" ht="16" thickBot="1">
      <c r="A8" s="47" t="s">
        <v>134</v>
      </c>
      <c r="B8" s="62">
        <v>8599</v>
      </c>
      <c r="C8" s="48">
        <v>1.24E-2</v>
      </c>
    </row>
    <row r="9" spans="1:10" ht="17" thickBot="1">
      <c r="A9" s="47" t="s">
        <v>135</v>
      </c>
      <c r="B9" s="62">
        <v>90204</v>
      </c>
      <c r="C9" s="48">
        <v>0.12970000000000001</v>
      </c>
    </row>
    <row r="10" spans="1:10" ht="16" thickBot="1">
      <c r="A10" s="47" t="s">
        <v>6</v>
      </c>
      <c r="B10" s="62">
        <v>35260</v>
      </c>
      <c r="C10" s="48">
        <v>5.0700000000000002E-2</v>
      </c>
    </row>
    <row r="11" spans="1:10" ht="16" thickBot="1">
      <c r="A11" s="47" t="s">
        <v>7</v>
      </c>
      <c r="B11" s="62">
        <v>11342</v>
      </c>
      <c r="C11" s="48">
        <v>1.6299999999999999E-2</v>
      </c>
    </row>
    <row r="12" spans="1:10" ht="16" thickBot="1">
      <c r="A12" s="49" t="s">
        <v>55</v>
      </c>
      <c r="B12" s="63">
        <v>175712</v>
      </c>
      <c r="C12" s="50">
        <v>0.25259999999999999</v>
      </c>
    </row>
    <row r="13" spans="1:10">
      <c r="A13" s="99" t="s">
        <v>136</v>
      </c>
      <c r="B13" s="100"/>
      <c r="C13" s="101"/>
    </row>
    <row r="14" spans="1:10" ht="16" thickBot="1">
      <c r="A14" s="102"/>
      <c r="B14" s="103"/>
      <c r="C14" s="104"/>
    </row>
    <row r="15" spans="1:10" ht="16" thickBot="1">
      <c r="A15" s="47" t="s">
        <v>10</v>
      </c>
      <c r="B15" s="62">
        <v>205222</v>
      </c>
      <c r="C15" s="48">
        <v>0.29499999999999998</v>
      </c>
    </row>
    <row r="16" spans="1:10" ht="16" thickBot="1">
      <c r="A16" s="47" t="s">
        <v>12</v>
      </c>
      <c r="B16" s="62">
        <v>22018</v>
      </c>
      <c r="C16" s="48">
        <v>3.1699999999999999E-2</v>
      </c>
    </row>
    <row r="17" spans="1:9" ht="16" thickBot="1">
      <c r="A17" s="47" t="s">
        <v>15</v>
      </c>
      <c r="B17" s="62">
        <v>841270.5</v>
      </c>
      <c r="C17" s="48">
        <v>0.35339999999999999</v>
      </c>
    </row>
    <row r="18" spans="1:9" ht="16" thickBot="1">
      <c r="A18" s="47" t="s">
        <v>17</v>
      </c>
      <c r="B18" s="62">
        <v>6224</v>
      </c>
      <c r="C18" s="48">
        <v>8.8999999999999999E-3</v>
      </c>
    </row>
    <row r="19" spans="1:9" ht="17" thickBot="1">
      <c r="A19" s="47" t="s">
        <v>137</v>
      </c>
      <c r="B19" s="62">
        <v>2712</v>
      </c>
      <c r="C19" s="48">
        <v>3.8999999999999998E-3</v>
      </c>
    </row>
    <row r="20" spans="1:9" ht="16" thickBot="1">
      <c r="A20" s="47" t="s">
        <v>138</v>
      </c>
      <c r="B20" s="62">
        <v>11887</v>
      </c>
      <c r="C20" s="48">
        <v>1.7100000000000001E-2</v>
      </c>
    </row>
    <row r="21" spans="1:9" ht="17" thickBot="1">
      <c r="A21" s="47" t="s">
        <v>139</v>
      </c>
      <c r="B21" s="62">
        <v>25970</v>
      </c>
      <c r="C21" s="48">
        <v>3.73E-2</v>
      </c>
    </row>
    <row r="22" spans="1:9" ht="16" thickBot="1">
      <c r="A22" s="49" t="s">
        <v>55</v>
      </c>
      <c r="B22" s="63">
        <v>519883</v>
      </c>
      <c r="C22" s="50">
        <v>0.74739999999999995</v>
      </c>
    </row>
    <row r="23" spans="1:9" ht="16" thickBot="1">
      <c r="A23" s="51" t="s">
        <v>56</v>
      </c>
      <c r="B23" s="64">
        <v>695595</v>
      </c>
      <c r="C23" s="52">
        <v>1</v>
      </c>
    </row>
    <row r="25" spans="1:9">
      <c r="A25" s="23" t="s">
        <v>79</v>
      </c>
    </row>
    <row r="26" spans="1:9">
      <c r="A26" s="10" t="s">
        <v>80</v>
      </c>
      <c r="I26" s="10" t="s">
        <v>151</v>
      </c>
    </row>
    <row r="27" spans="1:9" ht="16" thickBot="1"/>
    <row r="28" spans="1:9" ht="37" thickBot="1">
      <c r="A28" s="33" t="s">
        <v>83</v>
      </c>
      <c r="B28" s="34" t="s">
        <v>84</v>
      </c>
      <c r="C28" s="35" t="s">
        <v>85</v>
      </c>
      <c r="D28" s="58" t="s">
        <v>86</v>
      </c>
      <c r="E28" s="34" t="s">
        <v>87</v>
      </c>
      <c r="F28" s="34" t="s">
        <v>88</v>
      </c>
      <c r="G28" s="34" t="s">
        <v>89</v>
      </c>
      <c r="I28" s="73" t="s">
        <v>152</v>
      </c>
    </row>
    <row r="29" spans="1:9" ht="16" thickBot="1">
      <c r="A29" s="109" t="s">
        <v>81</v>
      </c>
      <c r="B29" s="110"/>
      <c r="C29" s="110"/>
      <c r="D29" s="110"/>
      <c r="E29" s="110"/>
      <c r="F29" s="110"/>
      <c r="G29" s="111"/>
    </row>
    <row r="30" spans="1:9" ht="17" thickBot="1">
      <c r="A30" s="36" t="s">
        <v>90</v>
      </c>
      <c r="B30" s="37" t="s">
        <v>91</v>
      </c>
      <c r="C30" s="66">
        <v>453270</v>
      </c>
      <c r="D30" s="53" t="s">
        <v>92</v>
      </c>
      <c r="E30" s="68">
        <v>205222</v>
      </c>
      <c r="F30" s="38" t="s">
        <v>93</v>
      </c>
      <c r="G30" s="39">
        <v>0.54700000000000004</v>
      </c>
      <c r="I30" s="32">
        <f>C30-E30</f>
        <v>248048</v>
      </c>
    </row>
    <row r="31" spans="1:9" ht="17" thickBot="1">
      <c r="A31" s="40" t="s">
        <v>94</v>
      </c>
      <c r="B31" s="41" t="s">
        <v>91</v>
      </c>
      <c r="C31" s="67">
        <v>46366</v>
      </c>
      <c r="D31" s="54" t="s">
        <v>92</v>
      </c>
      <c r="E31" s="69">
        <v>22018</v>
      </c>
      <c r="F31" s="42" t="s">
        <v>95</v>
      </c>
      <c r="G31" s="43">
        <v>0.52500000000000002</v>
      </c>
      <c r="I31" s="32">
        <f t="shared" ref="I31:I44" si="0">C31-E31</f>
        <v>24348</v>
      </c>
    </row>
    <row r="32" spans="1:9" ht="17" thickBot="1">
      <c r="A32" s="36" t="s">
        <v>96</v>
      </c>
      <c r="B32" s="37" t="s">
        <v>91</v>
      </c>
      <c r="C32" s="66">
        <v>500000</v>
      </c>
      <c r="D32" s="53" t="s">
        <v>92</v>
      </c>
      <c r="E32" s="70">
        <v>245850</v>
      </c>
      <c r="F32" s="38" t="s">
        <v>97</v>
      </c>
      <c r="G32" s="39">
        <v>0.50800000000000001</v>
      </c>
      <c r="I32" s="32">
        <f t="shared" si="0"/>
        <v>254150</v>
      </c>
    </row>
    <row r="33" spans="1:9" ht="17" thickBot="1">
      <c r="A33" s="40" t="s">
        <v>98</v>
      </c>
      <c r="B33" s="41" t="s">
        <v>91</v>
      </c>
      <c r="C33" s="67">
        <v>35161</v>
      </c>
      <c r="D33" s="54" t="s">
        <v>92</v>
      </c>
      <c r="E33" s="69">
        <v>0</v>
      </c>
      <c r="F33" s="42" t="s">
        <v>99</v>
      </c>
      <c r="G33" s="43">
        <v>1</v>
      </c>
      <c r="I33" s="32">
        <f t="shared" si="0"/>
        <v>35161</v>
      </c>
    </row>
    <row r="34" spans="1:9" ht="17" thickBot="1">
      <c r="A34" s="36" t="s">
        <v>100</v>
      </c>
      <c r="B34" s="37" t="s">
        <v>101</v>
      </c>
      <c r="C34" s="66">
        <v>215000</v>
      </c>
      <c r="D34" s="53" t="s">
        <v>102</v>
      </c>
      <c r="E34" s="70">
        <v>0</v>
      </c>
      <c r="F34" s="44">
        <v>215000</v>
      </c>
      <c r="G34" s="39">
        <v>1</v>
      </c>
      <c r="I34" s="32">
        <f t="shared" si="0"/>
        <v>215000</v>
      </c>
    </row>
    <row r="35" spans="1:9" ht="17" thickBot="1">
      <c r="A35" s="40" t="s">
        <v>103</v>
      </c>
      <c r="B35" s="41" t="s">
        <v>91</v>
      </c>
      <c r="C35" s="67">
        <v>100000</v>
      </c>
      <c r="D35" s="54" t="s">
        <v>92</v>
      </c>
      <c r="E35" s="69">
        <v>0</v>
      </c>
      <c r="F35" s="42" t="s">
        <v>104</v>
      </c>
      <c r="G35" s="43">
        <v>1</v>
      </c>
      <c r="I35" s="32">
        <f t="shared" si="0"/>
        <v>100000</v>
      </c>
    </row>
    <row r="36" spans="1:9" ht="17" thickBot="1">
      <c r="A36" s="36" t="s">
        <v>105</v>
      </c>
      <c r="B36" s="37" t="s">
        <v>91</v>
      </c>
      <c r="C36" s="66">
        <v>28939</v>
      </c>
      <c r="D36" s="53" t="s">
        <v>92</v>
      </c>
      <c r="E36" s="70">
        <v>0</v>
      </c>
      <c r="F36" s="38" t="s">
        <v>106</v>
      </c>
      <c r="G36" s="39">
        <v>1</v>
      </c>
      <c r="I36" s="32">
        <f t="shared" si="0"/>
        <v>28939</v>
      </c>
    </row>
    <row r="37" spans="1:9" ht="17" thickBot="1">
      <c r="A37" s="40" t="s">
        <v>107</v>
      </c>
      <c r="B37" s="41" t="s">
        <v>108</v>
      </c>
      <c r="C37" s="67">
        <v>21557</v>
      </c>
      <c r="D37" s="54" t="s">
        <v>92</v>
      </c>
      <c r="E37" s="69">
        <v>0</v>
      </c>
      <c r="F37" s="42" t="s">
        <v>109</v>
      </c>
      <c r="G37" s="43">
        <v>1</v>
      </c>
      <c r="I37" s="32">
        <f t="shared" si="0"/>
        <v>21557</v>
      </c>
    </row>
    <row r="38" spans="1:9" ht="17" thickBot="1">
      <c r="A38" s="36" t="s">
        <v>110</v>
      </c>
      <c r="B38" s="37" t="s">
        <v>111</v>
      </c>
      <c r="C38" s="66">
        <v>512994</v>
      </c>
      <c r="D38" s="53" t="s">
        <v>113</v>
      </c>
      <c r="E38" s="70">
        <v>0</v>
      </c>
      <c r="F38" s="38" t="s">
        <v>112</v>
      </c>
      <c r="G38" s="39">
        <v>1</v>
      </c>
      <c r="I38" s="32">
        <f t="shared" si="0"/>
        <v>512994</v>
      </c>
    </row>
    <row r="39" spans="1:9" ht="17" thickBot="1">
      <c r="A39" s="40" t="s">
        <v>114</v>
      </c>
      <c r="B39" s="41" t="s">
        <v>115</v>
      </c>
      <c r="C39" s="67">
        <v>50000</v>
      </c>
      <c r="D39" s="54" t="s">
        <v>117</v>
      </c>
      <c r="E39" s="69">
        <v>0</v>
      </c>
      <c r="F39" s="42" t="s">
        <v>116</v>
      </c>
      <c r="G39" s="43">
        <v>1</v>
      </c>
      <c r="I39" s="32">
        <f t="shared" si="0"/>
        <v>50000</v>
      </c>
    </row>
    <row r="40" spans="1:9" ht="16" thickBot="1">
      <c r="A40" s="105" t="s">
        <v>118</v>
      </c>
      <c r="B40" s="106"/>
      <c r="C40" s="107"/>
      <c r="D40" s="106"/>
      <c r="E40" s="107"/>
      <c r="F40" s="106"/>
      <c r="G40" s="108"/>
      <c r="I40" s="32"/>
    </row>
    <row r="41" spans="1:9" ht="17" thickBot="1">
      <c r="A41" s="59" t="s">
        <v>119</v>
      </c>
      <c r="B41" s="55" t="s">
        <v>120</v>
      </c>
      <c r="C41" s="56">
        <v>10363</v>
      </c>
      <c r="D41" s="55" t="s">
        <v>122</v>
      </c>
      <c r="E41" s="71">
        <v>0</v>
      </c>
      <c r="F41" s="60" t="s">
        <v>121</v>
      </c>
      <c r="G41" s="61">
        <v>1</v>
      </c>
      <c r="I41" s="32">
        <f t="shared" si="0"/>
        <v>10363</v>
      </c>
    </row>
    <row r="42" spans="1:9" ht="17" thickBot="1">
      <c r="A42" s="36" t="s">
        <v>123</v>
      </c>
      <c r="B42" s="37" t="s">
        <v>91</v>
      </c>
      <c r="C42" s="57">
        <v>160000</v>
      </c>
      <c r="D42" s="37" t="s">
        <v>124</v>
      </c>
      <c r="E42" s="66">
        <v>6224</v>
      </c>
      <c r="F42" s="38" t="s">
        <v>125</v>
      </c>
      <c r="G42" s="39">
        <v>0.96099999999999997</v>
      </c>
      <c r="I42" s="32">
        <f t="shared" si="0"/>
        <v>153776</v>
      </c>
    </row>
    <row r="43" spans="1:9" ht="17" thickBot="1">
      <c r="A43" s="40" t="s">
        <v>126</v>
      </c>
      <c r="B43" s="41" t="s">
        <v>108</v>
      </c>
      <c r="C43" s="56">
        <v>36964</v>
      </c>
      <c r="D43" s="41" t="s">
        <v>127</v>
      </c>
      <c r="E43" s="67">
        <v>11887</v>
      </c>
      <c r="F43" s="42" t="s">
        <v>128</v>
      </c>
      <c r="G43" s="43">
        <v>0.67800000000000005</v>
      </c>
      <c r="I43" s="32">
        <f t="shared" si="0"/>
        <v>25077</v>
      </c>
    </row>
    <row r="44" spans="1:9" ht="17" thickBot="1">
      <c r="A44" s="36" t="s">
        <v>129</v>
      </c>
      <c r="B44" s="37" t="s">
        <v>130</v>
      </c>
      <c r="C44" s="57">
        <v>10000</v>
      </c>
      <c r="D44" s="37" t="s">
        <v>131</v>
      </c>
      <c r="E44" s="72">
        <v>8870</v>
      </c>
      <c r="F44" s="38" t="s">
        <v>132</v>
      </c>
      <c r="G44" s="39">
        <v>0.113</v>
      </c>
      <c r="I44" s="32">
        <f t="shared" si="0"/>
        <v>1130</v>
      </c>
    </row>
    <row r="46" spans="1:9">
      <c r="I46" s="32"/>
    </row>
  </sheetData>
  <mergeCells count="3">
    <mergeCell ref="A13:C14"/>
    <mergeCell ref="A40:G40"/>
    <mergeCell ref="A29:G29"/>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9"/>
  <sheetViews>
    <sheetView tabSelected="1" workbookViewId="0"/>
  </sheetViews>
  <sheetFormatPr baseColWidth="10" defaultRowHeight="15" x14ac:dyDescent="0"/>
  <cols>
    <col min="1" max="1" width="43.33203125" style="4" customWidth="1"/>
    <col min="2" max="2" width="13.5" style="1" customWidth="1"/>
    <col min="3" max="3" width="13.5" style="3" customWidth="1"/>
    <col min="4" max="4" width="11.5" bestFit="1" customWidth="1"/>
    <col min="5" max="5" width="36" customWidth="1"/>
    <col min="6" max="6" width="1.83203125" customWidth="1"/>
    <col min="7" max="7" width="40.6640625" customWidth="1"/>
    <col min="8" max="8" width="12.33203125" customWidth="1"/>
    <col min="9" max="9" width="12.6640625" customWidth="1"/>
  </cols>
  <sheetData>
    <row r="1" spans="1:10">
      <c r="A1" s="13" t="s">
        <v>0</v>
      </c>
    </row>
    <row r="2" spans="1:10">
      <c r="A2" s="13"/>
      <c r="B2" s="1" t="s">
        <v>23</v>
      </c>
      <c r="C2" s="5">
        <f>'Exchange rates'!B5</f>
        <v>1.6817</v>
      </c>
      <c r="D2" t="s">
        <v>183</v>
      </c>
    </row>
    <row r="3" spans="1:10">
      <c r="A3" s="13"/>
      <c r="D3" s="5"/>
    </row>
    <row r="4" spans="1:10">
      <c r="B4" s="1" t="s">
        <v>1</v>
      </c>
      <c r="C4" s="3" t="s">
        <v>2</v>
      </c>
    </row>
    <row r="5" spans="1:10">
      <c r="A5" s="13" t="s">
        <v>217</v>
      </c>
      <c r="B5" s="1">
        <f>B26-B24+B7</f>
        <v>2371297.8099999968</v>
      </c>
      <c r="C5" s="3">
        <f>B5*C$2</f>
        <v>3987811.5270769945</v>
      </c>
    </row>
    <row r="7" spans="1:10">
      <c r="A7" s="82" t="s">
        <v>186</v>
      </c>
      <c r="B7" s="83">
        <f>SUM(B9:B22)</f>
        <v>1291015.5</v>
      </c>
      <c r="C7" s="3">
        <f>B7*C$2</f>
        <v>2171100.7663500002</v>
      </c>
      <c r="G7" s="23" t="s">
        <v>58</v>
      </c>
    </row>
    <row r="9" spans="1:10">
      <c r="A9" s="96" t="s">
        <v>4</v>
      </c>
      <c r="B9" s="97">
        <f>'Summary from SCI - Oct 2014'!B5</f>
        <v>13339</v>
      </c>
      <c r="C9" s="3">
        <f>B9*C$2</f>
        <v>22432.1963</v>
      </c>
      <c r="D9" s="7">
        <f t="shared" ref="D9:D22" si="0">B9/B$7</f>
        <v>1.0332176492071552E-2</v>
      </c>
      <c r="E9" t="s">
        <v>188</v>
      </c>
      <c r="G9" s="19" t="s">
        <v>29</v>
      </c>
      <c r="H9" s="20">
        <f>SUMIF(E$9:E$22,G9,C$9:C$22)</f>
        <v>1759886.43725</v>
      </c>
      <c r="I9" s="21">
        <f>H9/C7</f>
        <v>0.81059638710766824</v>
      </c>
    </row>
    <row r="10" spans="1:10">
      <c r="A10" s="96" t="s">
        <v>3</v>
      </c>
      <c r="B10" s="97">
        <f>'Summary from SCI - Oct 2014'!B6</f>
        <v>10147</v>
      </c>
      <c r="C10" s="3">
        <f t="shared" ref="C10:C22" si="1">B10*C$2</f>
        <v>17064.209899999998</v>
      </c>
      <c r="D10" s="7">
        <f t="shared" si="0"/>
        <v>7.859704240576507E-3</v>
      </c>
      <c r="E10" t="s">
        <v>188</v>
      </c>
      <c r="G10" s="19" t="s">
        <v>49</v>
      </c>
      <c r="H10" s="20">
        <f>SUMIF(E$9:E$22,G10,C$9:C$22)</f>
        <v>52055.341800000002</v>
      </c>
      <c r="I10" s="21">
        <f>H10/C7</f>
        <v>2.3976474333576938E-2</v>
      </c>
      <c r="J10" s="7"/>
    </row>
    <row r="11" spans="1:10">
      <c r="A11" s="96" t="s">
        <v>22</v>
      </c>
      <c r="B11" s="97">
        <f>'Summary from SCI - Oct 2014'!B21</f>
        <v>25970</v>
      </c>
      <c r="C11" s="3">
        <f t="shared" si="1"/>
        <v>43673.748999999996</v>
      </c>
      <c r="D11" s="7">
        <f t="shared" si="0"/>
        <v>2.0115947484751345E-2</v>
      </c>
      <c r="E11" t="s">
        <v>51</v>
      </c>
      <c r="G11" s="19" t="s">
        <v>188</v>
      </c>
      <c r="H11" s="20">
        <f>SUMIF(E$9:E$22,G11,C$9:C$22)</f>
        <v>295494.87039999996</v>
      </c>
      <c r="I11" s="21">
        <f>H11/C7</f>
        <v>0.1361037106061081</v>
      </c>
    </row>
    <row r="12" spans="1:10">
      <c r="A12" s="96" t="s">
        <v>8</v>
      </c>
      <c r="B12" s="97">
        <f>'Summary from SCI - Oct 2014'!B7</f>
        <v>6821</v>
      </c>
      <c r="C12" s="3">
        <f t="shared" si="1"/>
        <v>11470.875700000001</v>
      </c>
      <c r="D12" s="7">
        <f t="shared" si="0"/>
        <v>5.2834377278971473E-3</v>
      </c>
      <c r="E12" t="s">
        <v>188</v>
      </c>
      <c r="G12" s="19" t="s">
        <v>51</v>
      </c>
      <c r="H12" s="20">
        <f>SUMIF(E$9:E$22,G12,C$9:C$22)</f>
        <v>63664.116899999994</v>
      </c>
      <c r="I12" s="22">
        <f>H12/C7</f>
        <v>2.9323427952646575E-2</v>
      </c>
    </row>
    <row r="13" spans="1:10">
      <c r="A13" s="96" t="s">
        <v>54</v>
      </c>
      <c r="B13" s="97">
        <f>'Summary from SCI - Oct 2014'!B8</f>
        <v>8599</v>
      </c>
      <c r="C13" s="3">
        <f t="shared" si="1"/>
        <v>14460.9383</v>
      </c>
      <c r="D13" s="7">
        <f t="shared" si="0"/>
        <v>6.6606481486860538E-3</v>
      </c>
      <c r="E13" t="s">
        <v>188</v>
      </c>
      <c r="G13" s="19"/>
      <c r="H13" s="20">
        <f>SUM(H9:H12)</f>
        <v>2171100.7663499997</v>
      </c>
      <c r="I13" s="21">
        <f>SUM(I9:I12)</f>
        <v>0.99999999999999989</v>
      </c>
    </row>
    <row r="14" spans="1:10">
      <c r="A14" s="96" t="s">
        <v>5</v>
      </c>
      <c r="B14" s="97">
        <f>'Summary from SCI - Oct 2014'!B9</f>
        <v>90204</v>
      </c>
      <c r="C14" s="3">
        <f t="shared" si="1"/>
        <v>151696.0668</v>
      </c>
      <c r="D14" s="7">
        <f t="shared" si="0"/>
        <v>6.9870578625895657E-2</v>
      </c>
      <c r="E14" t="s">
        <v>188</v>
      </c>
    </row>
    <row r="15" spans="1:10">
      <c r="A15" s="96" t="s">
        <v>6</v>
      </c>
      <c r="B15" s="97">
        <f>'Summary from SCI - Oct 2014'!B10</f>
        <v>35260</v>
      </c>
      <c r="C15" s="3">
        <f t="shared" si="1"/>
        <v>59296.741999999998</v>
      </c>
      <c r="D15" s="7">
        <f t="shared" si="0"/>
        <v>2.7311833204171444E-2</v>
      </c>
      <c r="E15" t="s">
        <v>188</v>
      </c>
    </row>
    <row r="16" spans="1:10">
      <c r="A16" s="96" t="s">
        <v>7</v>
      </c>
      <c r="B16" s="97">
        <f>'Summary from SCI - Oct 2014'!B11</f>
        <v>11342</v>
      </c>
      <c r="C16" s="3">
        <f t="shared" si="1"/>
        <v>19073.841400000001</v>
      </c>
      <c r="D16" s="7">
        <f t="shared" si="0"/>
        <v>8.7853321668097707E-3</v>
      </c>
      <c r="E16" t="s">
        <v>188</v>
      </c>
      <c r="G16" s="23" t="s">
        <v>154</v>
      </c>
    </row>
    <row r="17" spans="1:10">
      <c r="A17" s="96" t="s">
        <v>78</v>
      </c>
      <c r="B17" s="97">
        <f>'Summary from SCI - Oct 2014'!B20</f>
        <v>11887</v>
      </c>
      <c r="C17" s="3">
        <f t="shared" si="1"/>
        <v>19990.367900000001</v>
      </c>
      <c r="D17" s="7">
        <f t="shared" si="0"/>
        <v>9.2074804678952352E-3</v>
      </c>
      <c r="E17" t="s">
        <v>51</v>
      </c>
    </row>
    <row r="18" spans="1:10">
      <c r="A18" s="96" t="s">
        <v>10</v>
      </c>
      <c r="B18" s="97">
        <f>'Summary from SCI - Oct 2014'!B15</f>
        <v>205222</v>
      </c>
      <c r="C18" s="3">
        <f t="shared" si="1"/>
        <v>345121.83740000002</v>
      </c>
      <c r="D18" s="7">
        <f t="shared" si="0"/>
        <v>0.15896168558781829</v>
      </c>
      <c r="E18" t="s">
        <v>29</v>
      </c>
      <c r="G18" s="74" t="s">
        <v>156</v>
      </c>
      <c r="H18" s="75">
        <f>SUM(G31:G44)</f>
        <v>1915553.8385999999</v>
      </c>
      <c r="I18" s="76">
        <f>H18/H$21</f>
        <v>0.67779168035734194</v>
      </c>
    </row>
    <row r="19" spans="1:10">
      <c r="A19" s="96" t="s">
        <v>12</v>
      </c>
      <c r="B19" s="97">
        <f>'Summary from SCI - Oct 2014'!B16</f>
        <v>22018</v>
      </c>
      <c r="C19" s="3">
        <f t="shared" si="1"/>
        <v>37027.670599999998</v>
      </c>
      <c r="D19" s="7">
        <f t="shared" si="0"/>
        <v>1.7054791363852718E-2</v>
      </c>
      <c r="E19" t="s">
        <v>49</v>
      </c>
      <c r="G19" s="74" t="s">
        <v>157</v>
      </c>
      <c r="H19" s="75">
        <f>SUM(I31:I44)</f>
        <v>354376.23249999998</v>
      </c>
      <c r="I19" s="76">
        <f t="shared" ref="I19:I20" si="2">H19/H$21</f>
        <v>0.12539102648267331</v>
      </c>
    </row>
    <row r="20" spans="1:10">
      <c r="A20" s="96" t="s">
        <v>15</v>
      </c>
      <c r="B20" s="97">
        <f>'Summary from SCI - Oct 2014'!B17</f>
        <v>841270.5</v>
      </c>
      <c r="C20" s="3">
        <f t="shared" si="1"/>
        <v>1414764.5998499999</v>
      </c>
      <c r="D20" s="7">
        <f t="shared" si="0"/>
        <v>0.65163470151985003</v>
      </c>
      <c r="E20" t="s">
        <v>29</v>
      </c>
      <c r="G20" s="74" t="s">
        <v>158</v>
      </c>
      <c r="H20" s="75">
        <f>SUM(J31:J44)</f>
        <v>556238.93349753565</v>
      </c>
      <c r="I20" s="76">
        <f t="shared" si="2"/>
        <v>0.19681729315998484</v>
      </c>
    </row>
    <row r="21" spans="1:10">
      <c r="A21" s="96" t="s">
        <v>17</v>
      </c>
      <c r="B21" s="97">
        <f>'Summary from SCI - Oct 2014'!B18</f>
        <v>6224</v>
      </c>
      <c r="C21" s="3">
        <f t="shared" si="1"/>
        <v>10466.900799999999</v>
      </c>
      <c r="D21" s="7">
        <f t="shared" si="0"/>
        <v>4.82101105679986E-3</v>
      </c>
      <c r="E21" t="s">
        <v>49</v>
      </c>
      <c r="G21" s="77"/>
      <c r="H21" s="78">
        <f>SUM(H18:H20)</f>
        <v>2826169.0045975354</v>
      </c>
      <c r="I21" s="79">
        <f>SUM(I18:I20)</f>
        <v>1</v>
      </c>
    </row>
    <row r="22" spans="1:10">
      <c r="A22" s="96" t="s">
        <v>18</v>
      </c>
      <c r="B22" s="97">
        <f>'Summary from SCI - Oct 2014'!B19</f>
        <v>2712</v>
      </c>
      <c r="C22" s="3">
        <f t="shared" si="1"/>
        <v>4560.7704000000003</v>
      </c>
      <c r="D22" s="7">
        <f t="shared" si="0"/>
        <v>2.1006719129243608E-3</v>
      </c>
      <c r="E22" t="s">
        <v>49</v>
      </c>
    </row>
    <row r="24" spans="1:10">
      <c r="A24" s="82" t="s">
        <v>216</v>
      </c>
      <c r="B24" s="83">
        <v>761222.69000000344</v>
      </c>
      <c r="C24" s="3">
        <f>B24*C$2</f>
        <v>1280148.1977730058</v>
      </c>
    </row>
    <row r="25" spans="1:10">
      <c r="A25" s="96"/>
      <c r="B25" s="83"/>
    </row>
    <row r="26" spans="1:10">
      <c r="A26" s="82" t="s">
        <v>185</v>
      </c>
      <c r="B26" s="83">
        <f>Assets!B24</f>
        <v>1841505</v>
      </c>
      <c r="C26" s="3">
        <f>B26*C$2</f>
        <v>3096858.9584999997</v>
      </c>
    </row>
    <row r="27" spans="1:10">
      <c r="A27" s="96"/>
      <c r="B27" s="83"/>
    </row>
    <row r="28" spans="1:10" ht="30">
      <c r="A28" s="82" t="s">
        <v>187</v>
      </c>
      <c r="B28" s="83">
        <f>SUM(B30:B43)</f>
        <v>1680543</v>
      </c>
      <c r="C28" s="1">
        <f>SUM(C30:C43)</f>
        <v>2826169.1631</v>
      </c>
      <c r="D28" s="10" t="s">
        <v>33</v>
      </c>
    </row>
    <row r="29" spans="1:10" ht="60" customHeight="1">
      <c r="G29" s="4" t="s">
        <v>156</v>
      </c>
      <c r="I29" s="4" t="s">
        <v>157</v>
      </c>
      <c r="J29" s="4" t="s">
        <v>158</v>
      </c>
    </row>
    <row r="30" spans="1:10">
      <c r="A30" s="4" t="s">
        <v>141</v>
      </c>
      <c r="B30" s="1">
        <f>'Summary from SCI - Oct 2014'!I41</f>
        <v>10363</v>
      </c>
      <c r="C30" s="3">
        <f t="shared" ref="C30:C33" si="3">B30*C$2</f>
        <v>17427.4571</v>
      </c>
      <c r="D30" t="s">
        <v>146</v>
      </c>
    </row>
    <row r="31" spans="1:10">
      <c r="A31" s="4" t="s">
        <v>144</v>
      </c>
      <c r="B31" s="1">
        <f>'Summary from SCI - Oct 2014'!I42</f>
        <v>153776</v>
      </c>
      <c r="C31" s="3">
        <f t="shared" si="3"/>
        <v>258605.0992</v>
      </c>
      <c r="D31" t="s">
        <v>143</v>
      </c>
      <c r="G31" s="3">
        <f>C30/2</f>
        <v>8713.7285499999998</v>
      </c>
      <c r="H31" s="7">
        <f>G31/H$18</f>
        <v>4.5489342948295871E-3</v>
      </c>
      <c r="I31" s="3">
        <f>G31</f>
        <v>8713.7285499999998</v>
      </c>
      <c r="J31" s="3">
        <v>0</v>
      </c>
    </row>
    <row r="32" spans="1:10">
      <c r="A32" s="4" t="s">
        <v>153</v>
      </c>
      <c r="B32" s="1">
        <f>'Summary from SCI - Oct 2014'!I43</f>
        <v>25077</v>
      </c>
      <c r="C32" s="3">
        <f t="shared" si="3"/>
        <v>42171.990899999997</v>
      </c>
      <c r="D32" t="s">
        <v>147</v>
      </c>
      <c r="G32" s="3">
        <f>C31/3.5</f>
        <v>73887.171199999997</v>
      </c>
      <c r="H32" s="7">
        <f t="shared" ref="H32:H44" si="4">G32/H$18</f>
        <v>3.8572223714683537E-2</v>
      </c>
      <c r="I32" s="3">
        <f>G32</f>
        <v>73887.171199999997</v>
      </c>
      <c r="J32" s="3">
        <f>C31-SUM(G32:I32)</f>
        <v>110830.71822777629</v>
      </c>
    </row>
    <row r="33" spans="1:10">
      <c r="A33" s="4" t="s">
        <v>145</v>
      </c>
      <c r="B33" s="1">
        <f>'Summary from SCI - Oct 2014'!I44</f>
        <v>1130</v>
      </c>
      <c r="C33" s="3">
        <f t="shared" si="3"/>
        <v>1900.3209999999999</v>
      </c>
      <c r="D33" t="s">
        <v>148</v>
      </c>
      <c r="G33" s="3">
        <f>C32/3</f>
        <v>14057.3303</v>
      </c>
      <c r="H33" s="7">
        <f t="shared" si="4"/>
        <v>7.3385200753605176E-3</v>
      </c>
      <c r="I33" s="3">
        <f>G33</f>
        <v>14057.3303</v>
      </c>
      <c r="J33" s="3">
        <f>C32-SUM(G33:I33)</f>
        <v>14057.32296147992</v>
      </c>
    </row>
    <row r="34" spans="1:10">
      <c r="A34" s="4" t="s">
        <v>82</v>
      </c>
      <c r="B34" s="1">
        <f>'Summary from SCI - Oct 2014'!I38</f>
        <v>512994</v>
      </c>
      <c r="C34" s="3">
        <f t="shared" ref="C34:C43" si="5">B34*C$2</f>
        <v>862702.0098</v>
      </c>
      <c r="D34" s="8" t="s">
        <v>149</v>
      </c>
      <c r="G34" s="3">
        <f>C33</f>
        <v>1900.3209999999999</v>
      </c>
      <c r="H34" s="7">
        <f t="shared" si="4"/>
        <v>9.9204781494884368E-4</v>
      </c>
      <c r="I34" s="3">
        <v>0</v>
      </c>
      <c r="J34" s="3">
        <v>0</v>
      </c>
    </row>
    <row r="35" spans="1:10">
      <c r="A35" s="4" t="s">
        <v>77</v>
      </c>
      <c r="B35" s="1">
        <f>'Summary from SCI - Oct 2014'!I30</f>
        <v>248048</v>
      </c>
      <c r="C35" s="3">
        <f t="shared" si="5"/>
        <v>417142.32159999997</v>
      </c>
      <c r="D35" t="s">
        <v>150</v>
      </c>
      <c r="E35" t="s">
        <v>155</v>
      </c>
      <c r="G35" s="3">
        <f>C34/4</f>
        <v>215675.50245</v>
      </c>
      <c r="H35" s="7">
        <f t="shared" si="4"/>
        <v>0.11259172052696176</v>
      </c>
      <c r="I35" s="3">
        <f>G35</f>
        <v>215675.50245</v>
      </c>
      <c r="J35" s="3">
        <f>C34-SUM(G35:I35)</f>
        <v>431350.89230827946</v>
      </c>
    </row>
    <row r="36" spans="1:10">
      <c r="A36" s="4" t="s">
        <v>12</v>
      </c>
      <c r="B36" s="1">
        <f>'Summary from SCI - Oct 2014'!I31</f>
        <v>24348</v>
      </c>
      <c r="C36" s="3">
        <f t="shared" si="5"/>
        <v>40946.031600000002</v>
      </c>
      <c r="D36" t="s">
        <v>150</v>
      </c>
      <c r="E36" t="s">
        <v>155</v>
      </c>
      <c r="G36" s="28">
        <f>C35</f>
        <v>417142.32159999997</v>
      </c>
      <c r="H36" s="80">
        <f t="shared" si="4"/>
        <v>0.2177659083207352</v>
      </c>
      <c r="I36" s="3">
        <v>0</v>
      </c>
      <c r="J36" s="3">
        <v>0</v>
      </c>
    </row>
    <row r="37" spans="1:10">
      <c r="A37" s="4" t="s">
        <v>15</v>
      </c>
      <c r="B37" s="1">
        <f>'Summary from SCI - Oct 2014'!I32</f>
        <v>254150</v>
      </c>
      <c r="C37" s="3">
        <f t="shared" si="5"/>
        <v>427404.05499999999</v>
      </c>
      <c r="D37" t="s">
        <v>150</v>
      </c>
      <c r="E37" t="s">
        <v>155</v>
      </c>
      <c r="G37" s="3">
        <f t="shared" ref="G37:G42" si="6">C36</f>
        <v>40946.031600000002</v>
      </c>
      <c r="H37" s="7">
        <f t="shared" si="4"/>
        <v>2.1375557697676503E-2</v>
      </c>
      <c r="I37" s="3">
        <v>0</v>
      </c>
      <c r="J37" s="3">
        <v>0</v>
      </c>
    </row>
    <row r="38" spans="1:10">
      <c r="A38" s="4" t="s">
        <v>57</v>
      </c>
      <c r="B38" s="1">
        <f>'Summary from SCI - Oct 2014'!I33</f>
        <v>35161</v>
      </c>
      <c r="C38" s="3">
        <f t="shared" si="5"/>
        <v>59130.253700000001</v>
      </c>
      <c r="D38" t="s">
        <v>150</v>
      </c>
      <c r="E38" t="s">
        <v>155</v>
      </c>
      <c r="G38" s="28">
        <f t="shared" si="6"/>
        <v>427404.05499999999</v>
      </c>
      <c r="H38" s="80">
        <f t="shared" si="4"/>
        <v>0.22312296652145897</v>
      </c>
      <c r="I38" s="3">
        <v>0</v>
      </c>
      <c r="J38" s="3">
        <v>0</v>
      </c>
    </row>
    <row r="39" spans="1:10">
      <c r="A39" s="4" t="s">
        <v>64</v>
      </c>
      <c r="B39" s="1">
        <f>'Summary from SCI - Oct 2014'!I34</f>
        <v>215000</v>
      </c>
      <c r="C39" s="3">
        <f t="shared" si="5"/>
        <v>361565.5</v>
      </c>
      <c r="D39" t="s">
        <v>150</v>
      </c>
      <c r="E39" t="s">
        <v>155</v>
      </c>
      <c r="G39" s="3">
        <f t="shared" si="6"/>
        <v>59130.253700000001</v>
      </c>
      <c r="H39" s="7">
        <f t="shared" si="4"/>
        <v>3.0868489576474596E-2</v>
      </c>
      <c r="I39" s="3">
        <v>0</v>
      </c>
      <c r="J39" s="3">
        <v>0</v>
      </c>
    </row>
    <row r="40" spans="1:10">
      <c r="A40" s="4" t="s">
        <v>30</v>
      </c>
      <c r="B40" s="1">
        <f>'Summary from SCI - Oct 2014'!I35</f>
        <v>100000</v>
      </c>
      <c r="C40" s="3">
        <f t="shared" si="5"/>
        <v>168170</v>
      </c>
      <c r="D40" t="s">
        <v>150</v>
      </c>
      <c r="E40" t="s">
        <v>155</v>
      </c>
      <c r="G40" s="28">
        <f t="shared" si="6"/>
        <v>361565.5</v>
      </c>
      <c r="H40" s="80">
        <f t="shared" si="4"/>
        <v>0.18875246036637292</v>
      </c>
      <c r="I40" s="3">
        <v>0</v>
      </c>
      <c r="J40" s="3">
        <v>0</v>
      </c>
    </row>
    <row r="41" spans="1:10">
      <c r="A41" s="4" t="s">
        <v>20</v>
      </c>
      <c r="B41" s="1">
        <f>'Summary from SCI - Oct 2014'!I36</f>
        <v>28939</v>
      </c>
      <c r="C41" s="3">
        <f t="shared" si="5"/>
        <v>48666.7163</v>
      </c>
      <c r="D41" t="s">
        <v>150</v>
      </c>
      <c r="E41" t="s">
        <v>155</v>
      </c>
      <c r="G41" s="3">
        <f t="shared" si="6"/>
        <v>168170</v>
      </c>
      <c r="H41" s="7">
        <f t="shared" si="4"/>
        <v>8.7791842030871134E-2</v>
      </c>
      <c r="I41" s="3">
        <v>0</v>
      </c>
      <c r="J41" s="3">
        <v>0</v>
      </c>
    </row>
    <row r="42" spans="1:10" ht="30">
      <c r="A42" s="4" t="s">
        <v>140</v>
      </c>
      <c r="B42" s="1">
        <f>'Summary from SCI - Oct 2014'!I37</f>
        <v>21557</v>
      </c>
      <c r="C42" s="3">
        <f t="shared" si="5"/>
        <v>36252.406900000002</v>
      </c>
      <c r="D42" t="s">
        <v>150</v>
      </c>
      <c r="G42" s="3">
        <f t="shared" si="6"/>
        <v>48666.7163</v>
      </c>
      <c r="H42" s="7">
        <f t="shared" si="4"/>
        <v>2.5406081165313794E-2</v>
      </c>
      <c r="I42" s="3">
        <v>0</v>
      </c>
      <c r="J42" s="3">
        <v>0</v>
      </c>
    </row>
    <row r="43" spans="1:10">
      <c r="A43" s="4" t="s">
        <v>142</v>
      </c>
      <c r="B43" s="1">
        <f>'Summary from SCI - Oct 2014'!I39</f>
        <v>50000</v>
      </c>
      <c r="C43" s="3">
        <f t="shared" si="5"/>
        <v>84085</v>
      </c>
      <c r="D43" s="8" t="s">
        <v>146</v>
      </c>
      <c r="G43" s="3">
        <f t="shared" ref="G43" si="7">C42</f>
        <v>36252.406900000002</v>
      </c>
      <c r="H43" s="7">
        <f t="shared" si="4"/>
        <v>1.892528738659489E-2</v>
      </c>
      <c r="I43" s="3">
        <v>0</v>
      </c>
      <c r="J43" s="3">
        <v>0</v>
      </c>
    </row>
    <row r="44" spans="1:10">
      <c r="G44" s="3">
        <f>C43/2</f>
        <v>42042.5</v>
      </c>
      <c r="H44" s="7">
        <f t="shared" si="4"/>
        <v>2.1947960507717783E-2</v>
      </c>
      <c r="I44" s="3">
        <f>G44</f>
        <v>42042.5</v>
      </c>
      <c r="J44" s="3">
        <v>0</v>
      </c>
    </row>
    <row r="45" spans="1:10" ht="30">
      <c r="A45" s="82" t="s">
        <v>184</v>
      </c>
      <c r="B45" s="83">
        <f>B26-B28</f>
        <v>160962</v>
      </c>
      <c r="C45" s="3">
        <f>B45*C$2</f>
        <v>270689.7954</v>
      </c>
    </row>
    <row r="47" spans="1:10" ht="30">
      <c r="A47" s="4" t="s">
        <v>230</v>
      </c>
      <c r="B47" s="1" t="e">
        <f>C47/C2</f>
        <v>#REF!</v>
      </c>
      <c r="C47" s="84" t="e">
        <f>'Due to GiveWell'!#REF!+'Due to GiveWell'!C7</f>
        <v>#REF!</v>
      </c>
      <c r="D47" s="3"/>
    </row>
    <row r="49" spans="1:3" ht="30">
      <c r="A49" s="98" t="s">
        <v>229</v>
      </c>
      <c r="B49" s="1" t="e">
        <f>SUM(B45:B47)</f>
        <v>#REF!</v>
      </c>
      <c r="C49" s="6" t="e">
        <f>SUM(C45:C47)</f>
        <v>#REF!</v>
      </c>
    </row>
  </sheetData>
  <sortState ref="A47:C52">
    <sortCondition descending="1" ref="B47:B52"/>
  </sortState>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9"/>
  <sheetViews>
    <sheetView topLeftCell="A4" workbookViewId="0">
      <selection activeCell="A31" sqref="A31:XFD31"/>
    </sheetView>
  </sheetViews>
  <sheetFormatPr baseColWidth="10" defaultRowHeight="15" x14ac:dyDescent="0"/>
  <cols>
    <col min="1" max="1" width="32.1640625" style="4" customWidth="1"/>
    <col min="2" max="2" width="20.5" customWidth="1"/>
    <col min="3" max="4" width="19.1640625" customWidth="1"/>
    <col min="5" max="5" width="20.6640625" customWidth="1"/>
    <col min="6" max="6" width="18.5" customWidth="1"/>
    <col min="7" max="7" width="11.1640625" bestFit="1" customWidth="1"/>
    <col min="8" max="8" width="2.33203125" customWidth="1"/>
    <col min="9" max="9" width="14.5" customWidth="1"/>
    <col min="10" max="11" width="13.83203125" customWidth="1"/>
    <col min="12" max="12" width="36.83203125" customWidth="1"/>
    <col min="13" max="13" width="2.1640625" customWidth="1"/>
    <col min="14" max="14" width="35.83203125" customWidth="1"/>
    <col min="15" max="15" width="12.5" customWidth="1"/>
    <col min="16" max="16" width="11.5" bestFit="1" customWidth="1"/>
  </cols>
  <sheetData>
    <row r="1" spans="1:16">
      <c r="A1" s="31" t="s">
        <v>72</v>
      </c>
    </row>
    <row r="3" spans="1:16" s="11" customFormat="1" ht="45">
      <c r="B3" s="12" t="s">
        <v>43</v>
      </c>
      <c r="C3" s="12" t="s">
        <v>42</v>
      </c>
      <c r="D3" s="12" t="s">
        <v>59</v>
      </c>
      <c r="E3" s="12" t="s">
        <v>222</v>
      </c>
      <c r="F3" s="12" t="s">
        <v>41</v>
      </c>
      <c r="G3" s="12" t="s">
        <v>225</v>
      </c>
      <c r="I3" s="12" t="s">
        <v>223</v>
      </c>
      <c r="J3" s="12" t="s">
        <v>224</v>
      </c>
      <c r="K3" s="12" t="s">
        <v>227</v>
      </c>
    </row>
    <row r="4" spans="1:16">
      <c r="G4" s="17"/>
      <c r="H4" s="17"/>
      <c r="I4" s="17"/>
      <c r="J4" s="17"/>
      <c r="K4" s="17"/>
      <c r="L4" s="17"/>
    </row>
    <row r="5" spans="1:16" s="4" customFormat="1" ht="45">
      <c r="A5" s="4" t="s">
        <v>40</v>
      </c>
      <c r="B5" s="4" t="s">
        <v>39</v>
      </c>
      <c r="C5" s="4" t="s">
        <v>38</v>
      </c>
      <c r="D5" s="4" t="s">
        <v>60</v>
      </c>
      <c r="E5" s="4" t="s">
        <v>75</v>
      </c>
      <c r="F5" s="81" t="s">
        <v>228</v>
      </c>
      <c r="G5" s="18"/>
      <c r="H5" s="18"/>
      <c r="I5" s="81" t="s">
        <v>226</v>
      </c>
      <c r="J5" s="18"/>
      <c r="K5" s="18"/>
      <c r="L5" s="18"/>
    </row>
    <row r="7" spans="1:16">
      <c r="A7" s="4" t="s">
        <v>37</v>
      </c>
      <c r="B7" s="3"/>
      <c r="C7" s="3"/>
      <c r="D7" s="3"/>
      <c r="E7" s="3"/>
    </row>
    <row r="8" spans="1:16">
      <c r="A8" s="15" t="s">
        <v>15</v>
      </c>
      <c r="B8" s="3">
        <v>33826.22</v>
      </c>
      <c r="C8" s="3">
        <v>32626.26</v>
      </c>
      <c r="D8" s="3">
        <v>603900.85360000003</v>
      </c>
      <c r="E8" s="3">
        <f>Summary!C20</f>
        <v>1414764.5998499999</v>
      </c>
      <c r="F8" s="3">
        <f>SUM(B8:E8)</f>
        <v>2085117.9334499999</v>
      </c>
      <c r="G8" s="30">
        <f t="shared" ref="G8:G26" si="0">F8/F$29</f>
        <v>0.33596283012988903</v>
      </c>
      <c r="H8" s="30"/>
      <c r="I8" s="84">
        <f>Summary!C37</f>
        <v>427404.05499999999</v>
      </c>
      <c r="J8" s="84">
        <f>F8+I8</f>
        <v>2512521.9884500001</v>
      </c>
      <c r="K8" s="30">
        <f t="shared" ref="K8:K26" si="1">J8/J$29</f>
        <v>0.27816265927139078</v>
      </c>
      <c r="L8" s="24" t="s">
        <v>29</v>
      </c>
      <c r="N8" s="19" t="s">
        <v>29</v>
      </c>
      <c r="O8" s="20">
        <f>SUMIF(L$8:L$26,N8,F$8:F$26)</f>
        <v>2777980.50605</v>
      </c>
      <c r="P8" s="21">
        <f>O8/O$15</f>
        <v>0.4475997150501701</v>
      </c>
    </row>
    <row r="9" spans="1:16">
      <c r="A9" s="15" t="s">
        <v>35</v>
      </c>
      <c r="B9" s="3">
        <v>174735.35999999999</v>
      </c>
      <c r="C9" s="3">
        <v>162342.34479999999</v>
      </c>
      <c r="D9" s="3">
        <v>191182.60693399998</v>
      </c>
      <c r="E9" s="3">
        <f>Summary!H11</f>
        <v>295494.87039999996</v>
      </c>
      <c r="F9" s="3">
        <f>SUM(B9:E9)</f>
        <v>823755.18213399989</v>
      </c>
      <c r="G9" s="30">
        <f t="shared" si="0"/>
        <v>0.13272684383179861</v>
      </c>
      <c r="H9" s="30"/>
      <c r="I9" s="84">
        <f>Summary!C34+Summary!C43+Summary!C33</f>
        <v>948687.3308</v>
      </c>
      <c r="J9" s="84">
        <f>F9+I9</f>
        <v>1772442.5129339998</v>
      </c>
      <c r="K9" s="30">
        <f t="shared" si="1"/>
        <v>0.19622806290644298</v>
      </c>
      <c r="L9" s="7" t="s">
        <v>50</v>
      </c>
      <c r="N9" s="19" t="s">
        <v>49</v>
      </c>
      <c r="O9" s="20">
        <f>SUMIF(L$8:L$26,N9,F$8:F$26)</f>
        <v>2203408.2003000001</v>
      </c>
      <c r="P9" s="21">
        <f>O9/O$15</f>
        <v>0.35502224743679933</v>
      </c>
    </row>
    <row r="10" spans="1:16">
      <c r="A10" s="15" t="s">
        <v>12</v>
      </c>
      <c r="B10" s="3">
        <v>50779.62</v>
      </c>
      <c r="C10" s="3">
        <v>929351.80479999993</v>
      </c>
      <c r="D10" s="3">
        <v>478658.90379999997</v>
      </c>
      <c r="E10" s="3">
        <f>Summary!C19</f>
        <v>37027.670599999998</v>
      </c>
      <c r="F10" s="3">
        <f t="shared" ref="F10:F26" si="2">SUM(B10:E10)</f>
        <v>1495817.9992</v>
      </c>
      <c r="G10" s="30">
        <f t="shared" si="0"/>
        <v>0.24101238606632067</v>
      </c>
      <c r="H10" s="30"/>
      <c r="I10" s="84">
        <f>Summary!C36</f>
        <v>40946.031600000002</v>
      </c>
      <c r="J10" s="84">
        <f t="shared" ref="J10:J26" si="3">F10+I10</f>
        <v>1536764.0308000001</v>
      </c>
      <c r="K10" s="30">
        <f t="shared" si="1"/>
        <v>0.17013597152383939</v>
      </c>
      <c r="L10" s="25" t="s">
        <v>49</v>
      </c>
      <c r="N10" s="19" t="s">
        <v>61</v>
      </c>
      <c r="O10" s="20">
        <f>SUMIF(L$8:L$26,N10,F$8:F$26)</f>
        <v>164906.48800000001</v>
      </c>
      <c r="P10" s="21">
        <f>O10/O$15</f>
        <v>2.6570415767127698E-2</v>
      </c>
    </row>
    <row r="11" spans="1:16">
      <c r="A11" s="15" t="s">
        <v>10</v>
      </c>
      <c r="B11" s="3">
        <v>47400</v>
      </c>
      <c r="C11" s="3">
        <v>46776</v>
      </c>
      <c r="D11" s="3">
        <v>85965.977899999998</v>
      </c>
      <c r="E11" s="3">
        <f>Summary!C18</f>
        <v>345121.83740000002</v>
      </c>
      <c r="F11" s="3">
        <f t="shared" si="2"/>
        <v>525263.81530000002</v>
      </c>
      <c r="G11" s="30">
        <f t="shared" si="0"/>
        <v>8.4632679582314366E-2</v>
      </c>
      <c r="H11" s="30"/>
      <c r="I11" s="84">
        <f>Summary!C35</f>
        <v>417142.32159999997</v>
      </c>
      <c r="J11" s="84">
        <f t="shared" si="3"/>
        <v>942406.13690000004</v>
      </c>
      <c r="K11" s="30">
        <f t="shared" si="1"/>
        <v>0.10433428975302242</v>
      </c>
      <c r="L11" s="24" t="s">
        <v>29</v>
      </c>
      <c r="N11" s="19" t="s">
        <v>50</v>
      </c>
      <c r="O11" s="20">
        <f>SUMIF(L$8:L$26,N11,F$8:F$26)</f>
        <v>823755.18213399989</v>
      </c>
      <c r="P11" s="21">
        <f>O11/O$15</f>
        <v>0.13272684383179864</v>
      </c>
    </row>
    <row r="12" spans="1:16">
      <c r="A12" s="15" t="s">
        <v>17</v>
      </c>
      <c r="B12" s="3">
        <v>82115.760000000009</v>
      </c>
      <c r="C12" s="3">
        <v>140700.6488</v>
      </c>
      <c r="D12" s="3">
        <v>1208.7922000000001</v>
      </c>
      <c r="E12" s="3">
        <f>Summary!C21</f>
        <v>10466.900799999999</v>
      </c>
      <c r="F12" s="3">
        <f>SUM(B12:E12)</f>
        <v>234492.1018</v>
      </c>
      <c r="G12" s="30">
        <f t="shared" si="0"/>
        <v>3.7782337823686063E-2</v>
      </c>
      <c r="H12" s="30"/>
      <c r="I12" s="84">
        <f>Summary!C31</f>
        <v>258605.0992</v>
      </c>
      <c r="J12" s="84">
        <f>F12+I12</f>
        <v>493097.201</v>
      </c>
      <c r="K12" s="30">
        <f t="shared" si="1"/>
        <v>5.4591056054421092E-2</v>
      </c>
      <c r="L12" s="25" t="s">
        <v>49</v>
      </c>
    </row>
    <row r="13" spans="1:16">
      <c r="A13" s="15" t="s">
        <v>64</v>
      </c>
      <c r="B13" s="3">
        <v>0</v>
      </c>
      <c r="C13" s="3">
        <v>0</v>
      </c>
      <c r="D13" s="3">
        <v>0</v>
      </c>
      <c r="E13" s="3">
        <v>0</v>
      </c>
      <c r="F13" s="3">
        <f>SUM(B13:E13)</f>
        <v>0</v>
      </c>
      <c r="G13" s="30">
        <f t="shared" si="0"/>
        <v>0</v>
      </c>
      <c r="H13" s="30"/>
      <c r="I13" s="84">
        <f>Summary!C39</f>
        <v>361565.5</v>
      </c>
      <c r="J13" s="84">
        <f>F13+I13</f>
        <v>361565.5</v>
      </c>
      <c r="K13" s="30">
        <f t="shared" si="1"/>
        <v>4.0029110767239556E-2</v>
      </c>
      <c r="L13" s="25" t="s">
        <v>49</v>
      </c>
      <c r="P13" s="3"/>
    </row>
    <row r="14" spans="1:16">
      <c r="A14" s="15" t="s">
        <v>19</v>
      </c>
      <c r="B14" s="3">
        <v>0</v>
      </c>
      <c r="C14" s="3">
        <v>171512</v>
      </c>
      <c r="D14" s="3">
        <v>179201</v>
      </c>
      <c r="E14" s="3">
        <v>0</v>
      </c>
      <c r="F14" s="3">
        <f t="shared" si="2"/>
        <v>350713</v>
      </c>
      <c r="G14" s="30">
        <f t="shared" si="0"/>
        <v>5.6508329890189973E-2</v>
      </c>
      <c r="H14" s="30"/>
      <c r="I14" s="84">
        <v>0</v>
      </c>
      <c r="J14" s="84">
        <f t="shared" si="3"/>
        <v>350713</v>
      </c>
      <c r="K14" s="30">
        <f t="shared" si="1"/>
        <v>3.8827624661398524E-2</v>
      </c>
      <c r="L14" s="25" t="s">
        <v>49</v>
      </c>
      <c r="N14" s="19" t="s">
        <v>51</v>
      </c>
      <c r="O14" s="20">
        <f>SUMIF(L$8:L$26,N14,F$8:F$26)</f>
        <v>236344.33880000003</v>
      </c>
      <c r="P14" s="21">
        <f>O14/O$15</f>
        <v>3.8080777914104205E-2</v>
      </c>
    </row>
    <row r="15" spans="1:16">
      <c r="A15" s="15" t="s">
        <v>9</v>
      </c>
      <c r="B15" s="3">
        <v>0</v>
      </c>
      <c r="C15" s="3">
        <v>22634.9064</v>
      </c>
      <c r="D15" s="3">
        <v>170035.68340000001</v>
      </c>
      <c r="E15" s="3">
        <f>Summary!C11</f>
        <v>43673.748999999996</v>
      </c>
      <c r="F15" s="3">
        <f t="shared" si="2"/>
        <v>236344.33880000003</v>
      </c>
      <c r="G15" s="30">
        <f t="shared" si="0"/>
        <v>3.8080777914104205E-2</v>
      </c>
      <c r="H15" s="30"/>
      <c r="I15" s="84">
        <f>Summary!C30</f>
        <v>17427.4571</v>
      </c>
      <c r="J15" s="84">
        <f t="shared" si="3"/>
        <v>253771.79590000003</v>
      </c>
      <c r="K15" s="30">
        <f t="shared" si="1"/>
        <v>2.8095211870829521E-2</v>
      </c>
      <c r="L15" s="7" t="s">
        <v>51</v>
      </c>
      <c r="N15" s="19"/>
      <c r="O15" s="27">
        <f>SUM(O8:O14)</f>
        <v>6206394.7152840002</v>
      </c>
      <c r="P15" s="26">
        <f>SUM(P8:P14)</f>
        <v>1</v>
      </c>
    </row>
    <row r="16" spans="1:16">
      <c r="A16" s="15" t="s">
        <v>30</v>
      </c>
      <c r="B16" s="3">
        <v>4152.24</v>
      </c>
      <c r="C16" s="3">
        <v>0</v>
      </c>
      <c r="D16" s="3">
        <v>0</v>
      </c>
      <c r="E16" s="3">
        <v>0</v>
      </c>
      <c r="F16" s="3">
        <f>SUM(B16:E16)</f>
        <v>4152.24</v>
      </c>
      <c r="G16" s="30">
        <f t="shared" si="0"/>
        <v>6.6902609171385838E-4</v>
      </c>
      <c r="H16" s="30"/>
      <c r="I16" s="84">
        <f>Summary!C40</f>
        <v>168170</v>
      </c>
      <c r="J16" s="84">
        <f>F16+I16</f>
        <v>172322.24</v>
      </c>
      <c r="K16" s="30">
        <f t="shared" si="1"/>
        <v>1.9077887775849296E-2</v>
      </c>
      <c r="L16" s="24" t="s">
        <v>29</v>
      </c>
    </row>
    <row r="17" spans="1:16">
      <c r="A17" s="15" t="s">
        <v>18</v>
      </c>
      <c r="B17" s="3">
        <v>100000</v>
      </c>
      <c r="C17" s="3">
        <v>58125.416799999999</v>
      </c>
      <c r="D17" s="3">
        <v>0</v>
      </c>
      <c r="E17" s="3">
        <f>Summary!C22</f>
        <v>4560.7704000000003</v>
      </c>
      <c r="F17" s="3">
        <f t="shared" si="2"/>
        <v>162686.18720000001</v>
      </c>
      <c r="G17" s="30">
        <f t="shared" si="0"/>
        <v>2.621267171412181E-2</v>
      </c>
      <c r="H17" s="30"/>
      <c r="I17" s="84">
        <v>0</v>
      </c>
      <c r="J17" s="84">
        <f t="shared" si="3"/>
        <v>162686.18720000001</v>
      </c>
      <c r="K17" s="30">
        <f t="shared" si="1"/>
        <v>1.8011075193094118E-2</v>
      </c>
      <c r="L17" s="25" t="s">
        <v>61</v>
      </c>
    </row>
    <row r="18" spans="1:16">
      <c r="A18" s="15" t="s">
        <v>20</v>
      </c>
      <c r="B18" s="3">
        <v>84471.540000000008</v>
      </c>
      <c r="C18" s="3">
        <v>8079.7743999999993</v>
      </c>
      <c r="D18" s="3">
        <v>0</v>
      </c>
      <c r="E18" s="3">
        <v>0</v>
      </c>
      <c r="F18" s="3">
        <f t="shared" si="2"/>
        <v>92551.314400000003</v>
      </c>
      <c r="G18" s="30">
        <f t="shared" si="0"/>
        <v>1.4912250774524724E-2</v>
      </c>
      <c r="H18" s="30"/>
      <c r="I18" s="84">
        <f>Summary!C41</f>
        <v>48666.7163</v>
      </c>
      <c r="J18" s="84">
        <f t="shared" si="3"/>
        <v>141218.0307</v>
      </c>
      <c r="K18" s="30">
        <f t="shared" si="1"/>
        <v>1.5634324052548533E-2</v>
      </c>
      <c r="L18" s="24" t="s">
        <v>29</v>
      </c>
    </row>
    <row r="19" spans="1:16">
      <c r="A19" s="15" t="s">
        <v>14</v>
      </c>
      <c r="B19" s="3">
        <v>0</v>
      </c>
      <c r="C19" s="3">
        <v>61727.168799999999</v>
      </c>
      <c r="D19" s="3">
        <v>0</v>
      </c>
      <c r="E19" s="3">
        <v>0</v>
      </c>
      <c r="F19" s="3">
        <f t="shared" si="2"/>
        <v>61727.168799999999</v>
      </c>
      <c r="G19" s="30">
        <f t="shared" si="0"/>
        <v>9.945736878124967E-3</v>
      </c>
      <c r="H19" s="30"/>
      <c r="I19" s="84">
        <v>0</v>
      </c>
      <c r="J19" s="84">
        <f t="shared" si="3"/>
        <v>61727.168799999999</v>
      </c>
      <c r="K19" s="30">
        <f t="shared" si="1"/>
        <v>6.8338480226772013E-3</v>
      </c>
      <c r="L19" s="25" t="s">
        <v>49</v>
      </c>
    </row>
    <row r="20" spans="1:16">
      <c r="A20" s="15" t="s">
        <v>11</v>
      </c>
      <c r="B20" s="3">
        <v>27921.760000000002</v>
      </c>
      <c r="C20" s="3">
        <v>11287.048799999999</v>
      </c>
      <c r="D20" s="3">
        <v>17351.544099999999</v>
      </c>
      <c r="E20" s="3">
        <v>0</v>
      </c>
      <c r="F20" s="3">
        <f t="shared" si="2"/>
        <v>56560.352899999998</v>
      </c>
      <c r="G20" s="30">
        <f t="shared" si="0"/>
        <v>9.1132381188571941E-3</v>
      </c>
      <c r="H20" s="30"/>
      <c r="I20" s="84">
        <v>0</v>
      </c>
      <c r="J20" s="84">
        <f t="shared" si="3"/>
        <v>56560.352899999998</v>
      </c>
      <c r="K20" s="30">
        <f t="shared" si="1"/>
        <v>6.2618270583566712E-3</v>
      </c>
      <c r="L20" s="25" t="s">
        <v>49</v>
      </c>
    </row>
    <row r="21" spans="1:16">
      <c r="A21" s="15" t="s">
        <v>36</v>
      </c>
      <c r="B21" s="3">
        <v>31600</v>
      </c>
      <c r="C21" s="3">
        <v>0</v>
      </c>
      <c r="D21" s="3">
        <v>0</v>
      </c>
      <c r="E21" s="3">
        <v>0</v>
      </c>
      <c r="F21" s="3">
        <f t="shared" si="2"/>
        <v>31600</v>
      </c>
      <c r="G21" s="30">
        <f t="shared" si="0"/>
        <v>5.0915227679897901E-3</v>
      </c>
      <c r="H21" s="30"/>
      <c r="I21" s="84">
        <v>0</v>
      </c>
      <c r="J21" s="84">
        <f t="shared" si="3"/>
        <v>31600</v>
      </c>
      <c r="K21" s="30">
        <f t="shared" si="1"/>
        <v>3.4984529780766418E-3</v>
      </c>
      <c r="L21" s="24" t="s">
        <v>29</v>
      </c>
    </row>
    <row r="22" spans="1:16">
      <c r="A22" s="15" t="s">
        <v>189</v>
      </c>
      <c r="B22" s="3">
        <v>0</v>
      </c>
      <c r="C22" s="3">
        <v>0</v>
      </c>
      <c r="D22" s="3">
        <v>0</v>
      </c>
      <c r="E22" s="3">
        <f>Summary!C17</f>
        <v>19990.367900000001</v>
      </c>
      <c r="F22" s="3">
        <f>SUM(B22:E22)</f>
        <v>19990.367900000001</v>
      </c>
      <c r="G22" s="30">
        <f t="shared" si="0"/>
        <v>3.2209308007386788E-3</v>
      </c>
      <c r="H22" s="30"/>
      <c r="I22" s="84">
        <f>Summary!C32+Summary!C42</f>
        <v>78424.397800000006</v>
      </c>
      <c r="J22" s="84">
        <f t="shared" si="3"/>
        <v>98414.765700000004</v>
      </c>
      <c r="K22" s="30">
        <f t="shared" si="1"/>
        <v>1.0895551587021518E-2</v>
      </c>
      <c r="L22" s="24" t="s">
        <v>29</v>
      </c>
    </row>
    <row r="23" spans="1:16">
      <c r="A23" s="15" t="s">
        <v>57</v>
      </c>
      <c r="B23" s="3">
        <v>0</v>
      </c>
      <c r="C23" s="3">
        <v>0</v>
      </c>
      <c r="D23" s="3">
        <v>19304.834999999999</v>
      </c>
      <c r="E23" s="3">
        <v>0</v>
      </c>
      <c r="F23" s="3">
        <f t="shared" si="2"/>
        <v>19304.834999999999</v>
      </c>
      <c r="G23" s="30">
        <f t="shared" si="0"/>
        <v>3.1104749029995621E-3</v>
      </c>
      <c r="H23" s="30"/>
      <c r="I23" s="84">
        <f>Summary!C38</f>
        <v>59130.253700000001</v>
      </c>
      <c r="J23" s="84">
        <f t="shared" si="3"/>
        <v>78435.088699999993</v>
      </c>
      <c r="K23" s="30">
        <f t="shared" si="1"/>
        <v>8.6835908116525487E-3</v>
      </c>
      <c r="L23" s="24" t="s">
        <v>29</v>
      </c>
    </row>
    <row r="24" spans="1:16">
      <c r="A24" s="15" t="s">
        <v>31</v>
      </c>
      <c r="B24" s="3">
        <v>0</v>
      </c>
      <c r="C24" s="3">
        <v>2220.3008</v>
      </c>
      <c r="D24" s="3">
        <v>0</v>
      </c>
      <c r="E24" s="3">
        <v>0</v>
      </c>
      <c r="F24" s="3">
        <f t="shared" si="2"/>
        <v>2220.3008</v>
      </c>
      <c r="G24" s="30">
        <f t="shared" si="0"/>
        <v>3.577440530058843E-4</v>
      </c>
      <c r="H24" s="30"/>
      <c r="I24" s="84">
        <v>0</v>
      </c>
      <c r="J24" s="84">
        <f t="shared" si="3"/>
        <v>2220.3008</v>
      </c>
      <c r="K24" s="30">
        <f t="shared" si="1"/>
        <v>2.4581069449322628E-4</v>
      </c>
      <c r="L24" s="25" t="s">
        <v>61</v>
      </c>
    </row>
    <row r="25" spans="1:16">
      <c r="A25" s="15" t="s">
        <v>16</v>
      </c>
      <c r="B25" s="3">
        <v>0</v>
      </c>
      <c r="C25" s="3">
        <v>2048.7887999999998</v>
      </c>
      <c r="D25" s="3">
        <v>0</v>
      </c>
      <c r="E25" s="3">
        <v>0</v>
      </c>
      <c r="F25" s="3">
        <f t="shared" si="2"/>
        <v>2048.7887999999998</v>
      </c>
      <c r="G25" s="30">
        <f t="shared" si="0"/>
        <v>3.3010932981020501E-4</v>
      </c>
      <c r="H25" s="30"/>
      <c r="I25" s="84">
        <v>0</v>
      </c>
      <c r="J25" s="84">
        <f t="shared" si="3"/>
        <v>2048.7887999999998</v>
      </c>
      <c r="K25" s="30">
        <f t="shared" si="1"/>
        <v>2.2682250882310345E-4</v>
      </c>
      <c r="L25" s="25" t="s">
        <v>49</v>
      </c>
      <c r="P25" s="3"/>
    </row>
    <row r="26" spans="1:16">
      <c r="A26" s="15" t="s">
        <v>13</v>
      </c>
      <c r="B26" s="3">
        <v>0</v>
      </c>
      <c r="C26" s="3">
        <v>2048.7887999999998</v>
      </c>
      <c r="D26" s="3">
        <v>0</v>
      </c>
      <c r="E26" s="3">
        <v>0</v>
      </c>
      <c r="F26" s="3">
        <f t="shared" si="2"/>
        <v>2048.7887999999998</v>
      </c>
      <c r="G26" s="30">
        <f t="shared" si="0"/>
        <v>3.3010932981020501E-4</v>
      </c>
      <c r="H26" s="30"/>
      <c r="I26" s="84">
        <v>0</v>
      </c>
      <c r="J26" s="84">
        <f t="shared" si="3"/>
        <v>2048.7887999999998</v>
      </c>
      <c r="K26" s="30">
        <f t="shared" si="1"/>
        <v>2.2682250882310345E-4</v>
      </c>
      <c r="L26" s="25" t="s">
        <v>49</v>
      </c>
      <c r="P26" s="3"/>
    </row>
    <row r="27" spans="1:16">
      <c r="A27" s="15"/>
      <c r="B27" s="3"/>
      <c r="C27" s="3"/>
      <c r="D27" s="3"/>
      <c r="E27" s="3"/>
      <c r="F27" s="3"/>
      <c r="G27" s="30"/>
      <c r="H27" s="30"/>
      <c r="L27" s="7"/>
      <c r="P27" s="3"/>
    </row>
    <row r="28" spans="1:16">
      <c r="A28" s="15"/>
      <c r="B28" s="3"/>
      <c r="C28" s="3"/>
      <c r="D28" s="3"/>
      <c r="E28" s="3"/>
      <c r="F28" s="3"/>
      <c r="P28" s="3"/>
    </row>
    <row r="29" spans="1:16">
      <c r="A29" s="15" t="s">
        <v>34</v>
      </c>
      <c r="B29" s="3">
        <f t="shared" ref="B29:G29" si="4">SUM(B8:B26)</f>
        <v>637002.5</v>
      </c>
      <c r="C29" s="3">
        <f t="shared" si="4"/>
        <v>1651481.2520000001</v>
      </c>
      <c r="D29" s="3">
        <f t="shared" si="4"/>
        <v>1746810.1969340001</v>
      </c>
      <c r="E29" s="3">
        <f t="shared" si="4"/>
        <v>2171100.7663499997</v>
      </c>
      <c r="F29" s="3">
        <f t="shared" si="4"/>
        <v>6206394.7152840011</v>
      </c>
      <c r="G29" s="30">
        <f t="shared" si="4"/>
        <v>0.99999999999999989</v>
      </c>
      <c r="H29" s="30"/>
      <c r="I29" s="84">
        <f>SUM(I8:I26)</f>
        <v>2826169.1631000005</v>
      </c>
      <c r="J29" s="84">
        <f>SUM(J8:J26)</f>
        <v>9032563.8783839978</v>
      </c>
      <c r="K29" s="84"/>
      <c r="P29" s="3"/>
    </row>
    <row r="30" spans="1:16">
      <c r="B30" s="3"/>
      <c r="C30" s="3"/>
      <c r="D30" s="3"/>
      <c r="E30" s="3"/>
      <c r="F30" s="3"/>
    </row>
    <row r="31" spans="1:16">
      <c r="A31" s="4" t="s">
        <v>63</v>
      </c>
      <c r="B31" s="2">
        <v>12</v>
      </c>
      <c r="C31" s="2">
        <v>11</v>
      </c>
      <c r="D31" s="2">
        <v>7</v>
      </c>
      <c r="E31" s="2">
        <v>6</v>
      </c>
      <c r="F31" s="2">
        <f>SUM(B31:E31)</f>
        <v>36</v>
      </c>
    </row>
    <row r="32" spans="1:16">
      <c r="A32" s="4" t="s">
        <v>62</v>
      </c>
      <c r="B32" s="9">
        <f>B29/B31</f>
        <v>53083.541666666664</v>
      </c>
      <c r="C32" s="9">
        <f>C29/C31</f>
        <v>150134.65927272729</v>
      </c>
      <c r="D32" s="9">
        <f>D29/D31</f>
        <v>249544.31384771431</v>
      </c>
      <c r="E32" s="9">
        <f>E29/E31</f>
        <v>361850.12772499997</v>
      </c>
      <c r="F32" s="9">
        <f>F29/F31</f>
        <v>172399.85320233335</v>
      </c>
    </row>
    <row r="33" spans="2:9">
      <c r="B33" s="9"/>
      <c r="C33" s="9"/>
      <c r="D33" s="9"/>
      <c r="E33" s="9"/>
    </row>
    <row r="34" spans="2:9">
      <c r="B34" s="9"/>
      <c r="C34" s="9"/>
      <c r="D34" s="9"/>
      <c r="E34" s="9"/>
      <c r="F34" s="3"/>
    </row>
    <row r="35" spans="2:9">
      <c r="B35" s="9"/>
      <c r="C35" s="9"/>
      <c r="D35" s="9"/>
      <c r="E35" s="9"/>
      <c r="F35" s="3">
        <f>SUM(F18:F26)</f>
        <v>288051.91740000003</v>
      </c>
      <c r="I35" s="3">
        <f>SUM(I18:I26)</f>
        <v>186221.36780000001</v>
      </c>
    </row>
    <row r="36" spans="2:9">
      <c r="B36" s="9"/>
      <c r="C36" s="9"/>
      <c r="D36" s="9"/>
      <c r="E36" s="9"/>
    </row>
    <row r="37" spans="2:9">
      <c r="B37" s="9"/>
      <c r="C37" s="9"/>
      <c r="D37" s="9"/>
      <c r="E37" s="9"/>
    </row>
    <row r="38" spans="2:9">
      <c r="B38" s="9"/>
      <c r="C38" s="9"/>
      <c r="D38" s="9"/>
      <c r="E38" s="9"/>
    </row>
    <row r="39" spans="2:9">
      <c r="B39" s="9"/>
      <c r="C39" s="9"/>
      <c r="D39" s="9"/>
      <c r="E39" s="9"/>
    </row>
  </sheetData>
  <sortState ref="A12:H28">
    <sortCondition descending="1" ref="F12:F28"/>
  </sortState>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workbookViewId="0">
      <selection activeCell="B2" sqref="B2"/>
    </sheetView>
  </sheetViews>
  <sheetFormatPr baseColWidth="10" defaultRowHeight="15" x14ac:dyDescent="0"/>
  <cols>
    <col min="1" max="1" width="30.6640625" customWidth="1"/>
  </cols>
  <sheetData>
    <row r="1" spans="1:2">
      <c r="A1" t="s">
        <v>27</v>
      </c>
      <c r="B1" t="s">
        <v>182</v>
      </c>
    </row>
    <row r="3" spans="1:2">
      <c r="A3" t="s">
        <v>28</v>
      </c>
    </row>
    <row r="5" spans="1:2">
      <c r="A5" t="s">
        <v>24</v>
      </c>
      <c r="B5">
        <v>1.6817</v>
      </c>
    </row>
    <row r="6" spans="1:2">
      <c r="A6" t="s">
        <v>25</v>
      </c>
      <c r="B6">
        <v>1.7130000000000001</v>
      </c>
    </row>
    <row r="7" spans="1:2">
      <c r="A7" t="s">
        <v>26</v>
      </c>
      <c r="B7">
        <v>1.6207</v>
      </c>
    </row>
    <row r="8" spans="1:2">
      <c r="A8" t="s">
        <v>159</v>
      </c>
      <c r="B8">
        <v>1.6207</v>
      </c>
    </row>
    <row r="9" spans="1:2">
      <c r="A9" t="s">
        <v>160</v>
      </c>
      <c r="B9">
        <v>1.6468</v>
      </c>
    </row>
    <row r="10" spans="1:2">
      <c r="A10" t="s">
        <v>161</v>
      </c>
      <c r="B10">
        <v>1.6577999999999999</v>
      </c>
    </row>
    <row r="11" spans="1:2">
      <c r="A11" t="s">
        <v>162</v>
      </c>
      <c r="B11">
        <v>1.6634</v>
      </c>
    </row>
    <row r="12" spans="1:2">
      <c r="A12" t="s">
        <v>163</v>
      </c>
      <c r="B12">
        <v>1.6736</v>
      </c>
    </row>
    <row r="13" spans="1:2">
      <c r="A13" t="s">
        <v>164</v>
      </c>
      <c r="B13">
        <v>1.6827000000000001</v>
      </c>
    </row>
    <row r="14" spans="1:2">
      <c r="A14" t="s">
        <v>165</v>
      </c>
      <c r="B14">
        <v>1.6916</v>
      </c>
    </row>
    <row r="15" spans="1:2">
      <c r="A15" t="s">
        <v>166</v>
      </c>
      <c r="B15">
        <v>1.7036</v>
      </c>
    </row>
    <row r="16" spans="1:2">
      <c r="A16" t="s">
        <v>167</v>
      </c>
      <c r="B16">
        <v>1.7108000000000001</v>
      </c>
    </row>
    <row r="17" spans="1:2">
      <c r="A17" t="s">
        <v>168</v>
      </c>
      <c r="B17">
        <v>1.7130000000000001</v>
      </c>
    </row>
    <row r="18" spans="1:2">
      <c r="A18" t="s">
        <v>169</v>
      </c>
      <c r="B18">
        <v>1.7118</v>
      </c>
    </row>
    <row r="19" spans="1:2">
      <c r="A19" t="s">
        <v>170</v>
      </c>
      <c r="B19">
        <v>1.7010000000000001</v>
      </c>
    </row>
    <row r="20" spans="1:2">
      <c r="A20" t="s">
        <v>171</v>
      </c>
      <c r="B20">
        <v>1.6989000000000001</v>
      </c>
    </row>
    <row r="21" spans="1:2">
      <c r="A21" t="s">
        <v>172</v>
      </c>
      <c r="B21">
        <v>1.6840999999999999</v>
      </c>
    </row>
    <row r="22" spans="1:2">
      <c r="A22" t="s">
        <v>173</v>
      </c>
      <c r="B22">
        <v>1.6763999999999999</v>
      </c>
    </row>
    <row r="23" spans="1:2">
      <c r="A23" t="s">
        <v>174</v>
      </c>
      <c r="B23">
        <v>1.6780999999999999</v>
      </c>
    </row>
    <row r="24" spans="1:2">
      <c r="A24" t="s">
        <v>175</v>
      </c>
      <c r="B24">
        <v>1.6839999999999999</v>
      </c>
    </row>
    <row r="25" spans="1:2">
      <c r="A25" t="s">
        <v>176</v>
      </c>
      <c r="B25">
        <v>1.6823999999999999</v>
      </c>
    </row>
    <row r="26" spans="1:2">
      <c r="A26" t="s">
        <v>177</v>
      </c>
      <c r="B26">
        <v>1.6903999999999999</v>
      </c>
    </row>
    <row r="27" spans="1:2">
      <c r="A27" t="s">
        <v>178</v>
      </c>
      <c r="B27">
        <v>1.6841999999999999</v>
      </c>
    </row>
    <row r="28" spans="1:2">
      <c r="A28" t="s">
        <v>179</v>
      </c>
      <c r="B28">
        <v>1.6797</v>
      </c>
    </row>
    <row r="29" spans="1:2">
      <c r="A29" t="s">
        <v>180</v>
      </c>
      <c r="B29">
        <v>1.6758999999999999</v>
      </c>
    </row>
    <row r="30" spans="1:2">
      <c r="A30" t="s">
        <v>181</v>
      </c>
      <c r="B30">
        <v>1.6692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C7" sqref="C7"/>
    </sheetView>
  </sheetViews>
  <sheetFormatPr baseColWidth="10" defaultRowHeight="15" x14ac:dyDescent="0"/>
  <cols>
    <col min="3" max="3" width="12.5" customWidth="1"/>
  </cols>
  <sheetData>
    <row r="1" spans="1:4">
      <c r="A1" t="s">
        <v>44</v>
      </c>
      <c r="B1" t="s">
        <v>45</v>
      </c>
      <c r="C1" t="s">
        <v>46</v>
      </c>
      <c r="D1" t="s">
        <v>47</v>
      </c>
    </row>
    <row r="2" spans="1:4">
      <c r="A2" s="16">
        <v>40210</v>
      </c>
      <c r="B2" s="16">
        <v>40574</v>
      </c>
      <c r="C2" s="3">
        <v>6200</v>
      </c>
      <c r="D2" t="s">
        <v>48</v>
      </c>
    </row>
    <row r="3" spans="1:4">
      <c r="A3" s="16">
        <v>40575</v>
      </c>
      <c r="B3" s="16">
        <v>40939</v>
      </c>
      <c r="C3" s="3">
        <f>862766</f>
        <v>862766</v>
      </c>
      <c r="D3" t="s">
        <v>48</v>
      </c>
    </row>
    <row r="4" spans="1:4">
      <c r="A4" s="16">
        <v>40940</v>
      </c>
      <c r="B4" s="16">
        <v>41305</v>
      </c>
      <c r="C4" s="3">
        <f>1111548</f>
        <v>1111548</v>
      </c>
      <c r="D4" t="s">
        <v>48</v>
      </c>
    </row>
    <row r="5" spans="1:4">
      <c r="A5" s="16">
        <v>41306</v>
      </c>
      <c r="B5" s="16">
        <v>41670</v>
      </c>
      <c r="C5" s="3">
        <v>2190184</v>
      </c>
      <c r="D5" t="s">
        <v>48</v>
      </c>
    </row>
    <row r="6" spans="1:4">
      <c r="A6" s="16">
        <v>41671</v>
      </c>
      <c r="B6" s="16">
        <v>41882</v>
      </c>
      <c r="C6" s="84">
        <f>525299+74324+19469</f>
        <v>619092</v>
      </c>
      <c r="D6" t="s">
        <v>231</v>
      </c>
    </row>
    <row r="7" spans="1:4">
      <c r="A7" s="16">
        <v>41907</v>
      </c>
      <c r="B7" s="16">
        <v>41950</v>
      </c>
      <c r="C7" s="84">
        <v>540000</v>
      </c>
      <c r="D7" t="s">
        <v>221</v>
      </c>
    </row>
    <row r="9" spans="1:4">
      <c r="B9" t="s">
        <v>21</v>
      </c>
      <c r="C9" s="3">
        <f>SUM(C2:C7)</f>
        <v>5329790</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workbookViewId="0">
      <selection activeCell="C13" sqref="C13"/>
    </sheetView>
  </sheetViews>
  <sheetFormatPr baseColWidth="10" defaultRowHeight="15" x14ac:dyDescent="0"/>
  <cols>
    <col min="1" max="1" width="13.83203125" customWidth="1"/>
    <col min="2" max="2" width="26" customWidth="1"/>
    <col min="3" max="3" width="23" customWidth="1"/>
    <col min="4" max="4" width="15.1640625" customWidth="1"/>
  </cols>
  <sheetData>
    <row r="1" spans="1:3">
      <c r="A1" s="10" t="s">
        <v>73</v>
      </c>
    </row>
    <row r="3" spans="1:3" ht="75">
      <c r="A3" s="23" t="s">
        <v>65</v>
      </c>
      <c r="B3" s="13" t="s">
        <v>71</v>
      </c>
      <c r="C3" s="13" t="s">
        <v>74</v>
      </c>
    </row>
    <row r="4" spans="1:3">
      <c r="A4" s="4" t="s">
        <v>10</v>
      </c>
      <c r="B4" s="6">
        <v>400000</v>
      </c>
      <c r="C4" s="14" t="e">
        <f>Summary!#REF!+Summary!C18</f>
        <v>#REF!</v>
      </c>
    </row>
    <row r="5" spans="1:3">
      <c r="A5" s="4" t="s">
        <v>15</v>
      </c>
      <c r="B5" s="6">
        <v>2000000</v>
      </c>
      <c r="C5" s="14" t="e">
        <f>Summary!#REF!</f>
        <v>#REF!</v>
      </c>
    </row>
    <row r="6" spans="1:3">
      <c r="A6" s="4" t="s">
        <v>14</v>
      </c>
      <c r="B6" s="6" t="s">
        <v>69</v>
      </c>
      <c r="C6" t="s">
        <v>66</v>
      </c>
    </row>
    <row r="7" spans="1:3" ht="30">
      <c r="A7" s="4" t="s">
        <v>68</v>
      </c>
      <c r="B7" s="6">
        <v>200000</v>
      </c>
      <c r="C7" t="s">
        <v>66</v>
      </c>
    </row>
    <row r="8" spans="1:3">
      <c r="A8" s="4" t="s">
        <v>64</v>
      </c>
      <c r="B8" t="s">
        <v>67</v>
      </c>
      <c r="C8" s="14" t="e">
        <f>Summary!#REF!</f>
        <v>#REF!</v>
      </c>
    </row>
    <row r="9" spans="1:3">
      <c r="A9" s="4" t="s">
        <v>12</v>
      </c>
      <c r="B9" t="s">
        <v>67</v>
      </c>
      <c r="C9" s="14" t="e">
        <f>Summary!#REF!</f>
        <v>#REF!</v>
      </c>
    </row>
    <row r="10" spans="1:3">
      <c r="A10" s="4" t="s">
        <v>20</v>
      </c>
      <c r="B10" t="s">
        <v>67</v>
      </c>
      <c r="C10" s="14" t="e">
        <f>Summary!#REF!</f>
        <v>#REF!</v>
      </c>
    </row>
    <row r="11" spans="1:3">
      <c r="A11" s="4" t="s">
        <v>36</v>
      </c>
      <c r="B11" t="s">
        <v>67</v>
      </c>
      <c r="C11" s="14" t="e">
        <f>Summary!#REF!</f>
        <v>#REF!</v>
      </c>
    </row>
    <row r="12" spans="1:3">
      <c r="A12" s="4" t="s">
        <v>57</v>
      </c>
      <c r="B12" t="s">
        <v>67</v>
      </c>
      <c r="C12" s="14" t="e">
        <f>Summary!#REF!</f>
        <v>#REF!</v>
      </c>
    </row>
    <row r="13" spans="1:3">
      <c r="A13" s="23" t="s">
        <v>32</v>
      </c>
      <c r="B13" s="29" t="s">
        <v>70</v>
      </c>
      <c r="C13" s="28" t="e">
        <f>SUM(C4:C12)</f>
        <v>#REF!</v>
      </c>
    </row>
  </sheetData>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B25" sqref="B25"/>
    </sheetView>
  </sheetViews>
  <sheetFormatPr baseColWidth="10" defaultRowHeight="15" x14ac:dyDescent="0"/>
  <cols>
    <col min="1" max="1" width="46.1640625" customWidth="1"/>
    <col min="2" max="2" width="39" customWidth="1"/>
  </cols>
  <sheetData>
    <row r="1" spans="1:7">
      <c r="A1" s="89" t="s">
        <v>215</v>
      </c>
    </row>
    <row r="2" spans="1:7">
      <c r="A2" s="86"/>
    </row>
    <row r="3" spans="1:7">
      <c r="A3" s="87" t="s">
        <v>210</v>
      </c>
      <c r="B3" s="93">
        <v>1155345</v>
      </c>
    </row>
    <row r="4" spans="1:7">
      <c r="A4" s="87" t="s">
        <v>211</v>
      </c>
      <c r="B4" s="93">
        <v>272680</v>
      </c>
    </row>
    <row r="5" spans="1:7">
      <c r="A5" s="87" t="s">
        <v>212</v>
      </c>
      <c r="B5" s="93">
        <v>641598</v>
      </c>
    </row>
    <row r="6" spans="1:7">
      <c r="A6" s="88" t="s">
        <v>213</v>
      </c>
      <c r="B6" s="94">
        <v>2069623</v>
      </c>
    </row>
    <row r="9" spans="1:7">
      <c r="A9" s="23" t="s">
        <v>214</v>
      </c>
    </row>
    <row r="11" spans="1:7">
      <c r="A11" s="90" t="s">
        <v>191</v>
      </c>
      <c r="B11" s="90" t="s">
        <v>192</v>
      </c>
      <c r="C11" s="90" t="s">
        <v>193</v>
      </c>
      <c r="D11" s="90" t="s">
        <v>194</v>
      </c>
      <c r="E11" s="90" t="s">
        <v>195</v>
      </c>
      <c r="F11" s="90" t="s">
        <v>196</v>
      </c>
      <c r="G11" s="90" t="s">
        <v>197</v>
      </c>
    </row>
    <row r="12" spans="1:7">
      <c r="A12" s="85" t="s">
        <v>198</v>
      </c>
      <c r="B12" s="85" t="s">
        <v>199</v>
      </c>
      <c r="C12" s="91">
        <v>412885</v>
      </c>
      <c r="D12" s="91">
        <v>337486</v>
      </c>
      <c r="E12" s="91">
        <v>30837</v>
      </c>
      <c r="F12" s="91">
        <v>368323</v>
      </c>
      <c r="G12" s="91">
        <v>44562</v>
      </c>
    </row>
    <row r="13" spans="1:7">
      <c r="A13" s="85" t="s">
        <v>200</v>
      </c>
      <c r="B13" s="85" t="s">
        <v>201</v>
      </c>
      <c r="C13" s="91">
        <v>1205001</v>
      </c>
      <c r="D13" s="91">
        <v>825572</v>
      </c>
      <c r="E13" s="91">
        <v>267994</v>
      </c>
      <c r="F13" s="91">
        <v>1093566</v>
      </c>
      <c r="G13" s="91">
        <v>111435</v>
      </c>
    </row>
    <row r="14" spans="1:7">
      <c r="A14" s="85" t="s">
        <v>202</v>
      </c>
      <c r="B14" s="85" t="s">
        <v>203</v>
      </c>
      <c r="C14" s="91">
        <v>654111</v>
      </c>
      <c r="D14" s="91">
        <v>455281</v>
      </c>
      <c r="E14" s="91">
        <v>134984</v>
      </c>
      <c r="F14" s="91">
        <v>590264</v>
      </c>
      <c r="G14" s="91">
        <v>63847</v>
      </c>
    </row>
    <row r="15" spans="1:7">
      <c r="A15" s="85" t="s">
        <v>204</v>
      </c>
      <c r="B15" s="85" t="s">
        <v>205</v>
      </c>
      <c r="C15" s="91">
        <v>105496</v>
      </c>
      <c r="D15" s="91">
        <v>57217</v>
      </c>
      <c r="E15" s="91">
        <v>0</v>
      </c>
      <c r="F15" s="91">
        <v>57217</v>
      </c>
      <c r="G15" s="91">
        <v>48279</v>
      </c>
    </row>
    <row r="16" spans="1:7">
      <c r="A16" s="85" t="s">
        <v>206</v>
      </c>
      <c r="B16" s="85" t="s">
        <v>207</v>
      </c>
      <c r="C16" s="91">
        <v>85713</v>
      </c>
      <c r="D16" s="91">
        <v>91570</v>
      </c>
      <c r="E16" s="91">
        <v>2276</v>
      </c>
      <c r="F16" s="91">
        <v>93846</v>
      </c>
      <c r="G16" s="91">
        <v>-8133</v>
      </c>
    </row>
    <row r="17" spans="1:7">
      <c r="A17" s="85" t="s">
        <v>208</v>
      </c>
      <c r="B17" s="85" t="s">
        <v>209</v>
      </c>
      <c r="C17" s="91">
        <v>247532</v>
      </c>
      <c r="D17" s="91">
        <v>50830</v>
      </c>
      <c r="E17" s="91">
        <v>184012</v>
      </c>
      <c r="F17" s="91">
        <v>234842</v>
      </c>
      <c r="G17" s="91">
        <v>12690</v>
      </c>
    </row>
    <row r="18" spans="1:7">
      <c r="A18" s="90" t="s">
        <v>21</v>
      </c>
      <c r="B18" s="85"/>
      <c r="C18" s="92">
        <v>2710738</v>
      </c>
      <c r="D18" s="92">
        <v>1817955</v>
      </c>
      <c r="E18" s="92">
        <v>620102</v>
      </c>
      <c r="F18" s="92">
        <v>2438058</v>
      </c>
      <c r="G18" s="92">
        <v>272680</v>
      </c>
    </row>
    <row r="21" spans="1:7">
      <c r="A21" s="10" t="s">
        <v>151</v>
      </c>
    </row>
    <row r="23" spans="1:7">
      <c r="A23" t="s">
        <v>219</v>
      </c>
      <c r="B23" s="1">
        <f>SUM(G13:G17)</f>
        <v>228118</v>
      </c>
      <c r="C23" t="s">
        <v>220</v>
      </c>
    </row>
    <row r="24" spans="1:7">
      <c r="A24" s="23" t="s">
        <v>218</v>
      </c>
      <c r="B24" s="95">
        <f>B6-B23</f>
        <v>1841505</v>
      </c>
    </row>
    <row r="25" spans="1:7">
      <c r="A25" s="23" t="s">
        <v>232</v>
      </c>
      <c r="B25" s="84">
        <f>B24*'Exchange rates'!B5</f>
        <v>3096858.9584999997</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Summary from SCI - Oct 2014</vt:lpstr>
      <vt:lpstr>Summary</vt:lpstr>
      <vt:lpstr>Combined with previous updates</vt:lpstr>
      <vt:lpstr>Exchange rates</vt:lpstr>
      <vt:lpstr>Due to GiveWell</vt:lpstr>
      <vt:lpstr>Compared to Nov 2013 plan</vt:lpstr>
      <vt:lpstr>Assets</vt:lpstr>
    </vt:vector>
  </TitlesOfParts>
  <Company>GiveWell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 Crispin</dc:creator>
  <cp:lastModifiedBy>Natalie Crispin</cp:lastModifiedBy>
  <dcterms:created xsi:type="dcterms:W3CDTF">2013-09-13T20:20:21Z</dcterms:created>
  <dcterms:modified xsi:type="dcterms:W3CDTF">2014-11-26T22:22:37Z</dcterms:modified>
</cp:coreProperties>
</file>