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9200" windowHeight="7240" activeTab="0"/>
  </bookViews>
  <sheets>
    <sheet name="Main sheet" sheetId="1" r:id="rId1"/>
    <sheet name="Insecticide Resistance" sheetId="2" r:id="rId2"/>
    <sheet name="Sheet3" sheetId="3" r:id="rId3"/>
  </sheets>
  <definedNames/>
  <calcPr fullCalcOnLoad="1"/>
</workbook>
</file>

<file path=xl/sharedStrings.xml><?xml version="1.0" encoding="utf-8"?>
<sst xmlns="http://schemas.openxmlformats.org/spreadsheetml/2006/main" count="230" uniqueCount="149">
  <si>
    <t>Baseline scenario</t>
  </si>
  <si>
    <t>Skepticism about community effects</t>
  </si>
  <si>
    <t>Pessimistic assumptions about ITN decay</t>
  </si>
  <si>
    <t>Optimistic assumptions about ITN decay</t>
  </si>
  <si>
    <t>Source/notes</t>
  </si>
  <si>
    <t>Cost per ITN distributed (including delivery)</t>
  </si>
  <si>
    <t>http://www.givewell.org/node/1798#Whatdoyougetforyourdollar</t>
  </si>
  <si>
    <t>Wastage</t>
  </si>
  <si>
    <t>People covered per LLIN</t>
  </si>
  <si>
    <t>Note that the effects noted in Lengeler 2004 do not depend on perfect coverage/usage of ITNs (see GiveWell summary of studies discussed in Lengeler 2004). This calculation uses "Theoretical coverage based on ITNs distributed" rather than "Actual usage" as the key input.</t>
  </si>
  <si>
    <t>Years of protection per person per LLIN</t>
  </si>
  <si>
    <t>Uses the decay model discussed in the writeup (see "From LLIN distribution to LLIN ownership")</t>
  </si>
  <si>
    <t>Percent of population under 5</t>
  </si>
  <si>
    <t>Malawi DHS 2010, Pg 9</t>
  </si>
  <si>
    <t>Percent of population aged 5-14</t>
  </si>
  <si>
    <t>Deaths averted per protected child under 5</t>
  </si>
  <si>
    <t>"The summary rate difference, which expresses how many lives can be saved for every 1000 children protected, was 5.53 deaths averted per 1000 children protected per year (95% CI 3.39 to 7.67; Analysis 1.2). I performed a regression analysis of the natural logarithm of the rate difference on the entomological inoculation rate and could not ?nd a trend (r 2 = 0.52, F = 3.2 on 1,3 degrees of freedom, P = 0.2). In contrast to protective efficacies, the risk differences seemed to have a tendency towards a higher effect with a higher entomological inoculation rate. This apparent paradox is because the baseline mortality rates are higher in areas with high entomological inoculation rates." Lengeler 2004, Pg 8. Author has confirmed that "protection" means "has received an ITN", not "has been confirmed to be using an ITN."</t>
  </si>
  <si>
    <t>See penultimate section of http://blog.givewell.org/2012/10/18/revisiting-the-case-for-insecticide-treated-nets-itns/</t>
  </si>
  <si>
    <t>Pre-existing ITN ownership: all</t>
  </si>
  <si>
    <t>Malawi DHS 2010, Pg 155. Modeling usage as 70% of ownership; thus, usage is divided by 70% to get ownership.</t>
  </si>
  <si>
    <t>Pre-existing ITN ownership: children under 5</t>
  </si>
  <si>
    <t>Pre-existing ITN ownership: children aged 5-14</t>
  </si>
  <si>
    <t>% of impact of ITNs coming from community-wide effects</t>
  </si>
  <si>
    <t>See cost-effectiveness section of writeup. The model here is that if X% of the effect comes from individual-level effects, then the "effective coverage" for children under-5 is X%*(coverage for children under 5)+(1-X)%*(community-level coverage)</t>
  </si>
  <si>
    <t>Effective pre-existing coverage of children under 5</t>
  </si>
  <si>
    <t>Calculation: adds the benefit children under-5 get from the current level of overall coverage to the benefit they get from their individual coverage.</t>
  </si>
  <si>
    <t>Effective pre-existing coverage: children aged 5-14</t>
  </si>
  <si>
    <t># of person-years of protection for children under 5, per person-year of protection for the community as a whole</t>
  </si>
  <si>
    <t>Calculation. Assumes that everyone in the population is brought to 100% effective coverage, so the % of the benefits that goes to under-5's depends on the pre-existing levels of effective coverage. For a population of 1 for 1 year, (1-C11) additional person-years of coverage are provided to reach 100% coverage, and (100%-C15)*(C7) additional years of protection are given to children under 5.</t>
  </si>
  <si>
    <t># of person-years of protection for children aged 5-14, per person-year of protection for the community as a whole</t>
  </si>
  <si>
    <t>Calculation, similar to directly above.</t>
  </si>
  <si>
    <t>Total amount spent</t>
  </si>
  <si>
    <t>Irrelevant to final cost-per-outcome figure; fill in a number that makes results intuitive</t>
  </si>
  <si>
    <t>Total LLINs distributed</t>
  </si>
  <si>
    <t>Calculation</t>
  </si>
  <si>
    <t>Total person-years of protection</t>
  </si>
  <si>
    <t>Total person-years of protection for children under 5</t>
  </si>
  <si>
    <t>Total person-years of protection for children aged 5-14</t>
  </si>
  <si>
    <t>Total deaths averted for children under 5</t>
  </si>
  <si>
    <t>Cost per person-year of protection</t>
  </si>
  <si>
    <t>Cost per person-year of protection: under-5's only</t>
  </si>
  <si>
    <t>Cost per person-year of protection: under-14's only</t>
  </si>
  <si>
    <t>Cost per death averted</t>
  </si>
  <si>
    <t>Conversion to cost per DALY</t>
  </si>
  <si>
    <t>Cost per DALY(0,0)</t>
  </si>
  <si>
    <t>Cost per DALY(3,0)</t>
  </si>
  <si>
    <t>Cost per DALY(3,1)</t>
  </si>
  <si>
    <t>Comparison to deworming:</t>
  </si>
  <si>
    <t>Person-years of protection for children under 14</t>
  </si>
  <si>
    <t>Equivalent children under 14 protected for 10 years</t>
  </si>
  <si>
    <t>For one life saved, how many children 5-14 years old are given 10 years worth of ITN protection?</t>
  </si>
  <si>
    <t>Cost per child dewormed</t>
  </si>
  <si>
    <t>Equivalent children 5-14 dewormed for 10 years</t>
  </si>
  <si>
    <t>For the cost of one life saved with ITNs, how many children 5-14 could be dewormed for 10 years each instead?</t>
  </si>
  <si>
    <t>Break-even # children aged 5-14 dewormed for 10 years to one life saved</t>
  </si>
  <si>
    <t>If and only if you prefer saving a life to deworming this # of children for 10 years each, you prefer ITN distribution to deworming.</t>
  </si>
  <si>
    <t>Ratio of cost per child protected by ITN per year to cost per child dewormed per year</t>
  </si>
  <si>
    <t>Upper bound on how much more cost-effective deworming can be than ITN distribution, if we assume that ITNs confer similar benefits to deworming (but are more expensive) and ignore lives saved.</t>
  </si>
  <si>
    <t>Outcome</t>
  </si>
  <si>
    <t>Uncomplicated clinical episodes</t>
  </si>
  <si>
    <t>Mortality</t>
  </si>
  <si>
    <t>Protective Efficacy</t>
  </si>
  <si>
    <t>Controls with no nets</t>
  </si>
  <si>
    <t>Controls with untreated nets</t>
  </si>
  <si>
    <t>Number of studies</t>
  </si>
  <si>
    <t>Source</t>
  </si>
  <si>
    <t>Comparison 1, pg 42</t>
  </si>
  <si>
    <t>Appendix 7, pg 49</t>
  </si>
  <si>
    <t>Endemicity</t>
  </si>
  <si>
    <t>Type</t>
  </si>
  <si>
    <t>10-500</t>
  </si>
  <si>
    <t>1-10</t>
  </si>
  <si>
    <t>p. falciparum</t>
  </si>
  <si>
    <t>&gt;1</t>
  </si>
  <si>
    <t>&lt;1</t>
  </si>
  <si>
    <t>p. vivax</t>
  </si>
  <si>
    <t>Parasite prevalence</t>
  </si>
  <si>
    <t>Appendix 10, pgs 50-1</t>
  </si>
  <si>
    <t>High parasitaemia</t>
  </si>
  <si>
    <t>Appendix 11, 12, pg 51</t>
  </si>
  <si>
    <t>Weighted mean average</t>
  </si>
  <si>
    <t>Proportion of effect attributable to physical barrier</t>
  </si>
  <si>
    <t>Proportion of effect attributable to insecticide</t>
  </si>
  <si>
    <t>Studies</t>
  </si>
  <si>
    <t>Outlier</t>
  </si>
  <si>
    <t xml:space="preserve">Colombia (Kroeger) </t>
  </si>
  <si>
    <t xml:space="preserve">Iran (Zaim I) </t>
  </si>
  <si>
    <t xml:space="preserve">Thailand (Kamol-R) </t>
  </si>
  <si>
    <t xml:space="preserve">Thailand (Luxemberger) </t>
  </si>
  <si>
    <t xml:space="preserve">Study </t>
  </si>
  <si>
    <t xml:space="preserve">Treated nets </t>
  </si>
  <si>
    <t xml:space="preserve">No nets </t>
  </si>
  <si>
    <t xml:space="preserve">Risk ratio </t>
  </si>
  <si>
    <t xml:space="preserve">Stable malaria (entomological inoculation rate &gt; 1): Plasmodium falciparum </t>
  </si>
  <si>
    <t xml:space="preserve">Ivory Coast (Henry) </t>
  </si>
  <si>
    <t xml:space="preserve">Kenya (Phillips-Howard) </t>
  </si>
  <si>
    <t xml:space="preserve">Kenya (Sexton) </t>
  </si>
  <si>
    <t xml:space="preserve">Sierra Leone (Marbiah) </t>
  </si>
  <si>
    <t xml:space="preserve">Pakistan (Rowland) </t>
  </si>
  <si>
    <t xml:space="preserve">Unstable malaria (entomological inoculation rate &lt; 1): Plasmodium vivax </t>
  </si>
  <si>
    <t xml:space="preserve">Nicaragua (Kroeger) </t>
  </si>
  <si>
    <t xml:space="preserve">Unstable malaria (entomological inoculation rate &lt; 1): Plasmodium falciparum </t>
  </si>
  <si>
    <t xml:space="preserve">Untreated nets </t>
  </si>
  <si>
    <t xml:space="preserve">Gambia (Snow I) </t>
  </si>
  <si>
    <t xml:space="preserve">Gambia (Snow II) </t>
  </si>
  <si>
    <t xml:space="preserve">Madagascar (Rabarison) </t>
  </si>
  <si>
    <t xml:space="preserve">Ecuador (Kroeger) </t>
  </si>
  <si>
    <t xml:space="preserve">Peru Amazon (Kroeger) </t>
  </si>
  <si>
    <t xml:space="preserve">Peru Coast (Kroeger) </t>
  </si>
  <si>
    <t>Calculated risk ratio</t>
  </si>
  <si>
    <t>Calculated protective efficacy</t>
  </si>
  <si>
    <t>Average of studies</t>
  </si>
  <si>
    <t>Average of populations</t>
  </si>
  <si>
    <t>SE of log(RR)</t>
  </si>
  <si>
    <t>Variance of log(RR)</t>
  </si>
  <si>
    <t>lower bound of CI</t>
  </si>
  <si>
    <t>Upper bound of CI</t>
  </si>
  <si>
    <t>m</t>
  </si>
  <si>
    <t>Mean RR</t>
  </si>
  <si>
    <t>weight</t>
  </si>
  <si>
    <t>Impact of insecticide resistance</t>
  </si>
  <si>
    <t>Deaths averted per protected child under 5 – adjusted for today's lower rates of child mortality and insecticide resistance</t>
  </si>
  <si>
    <t>Ratio of current child mortality to historical child mortality when RCTs were conducted</t>
  </si>
  <si>
    <t>Pessimistic assumptions about IR</t>
  </si>
  <si>
    <t>Optimistic assumptions about IR</t>
  </si>
  <si>
    <t>Lengeler protective efficacy</t>
  </si>
  <si>
    <t>Appendix 5 - treated versus untreated</t>
  </si>
  <si>
    <t>Appendix 6 - treated versus no nets</t>
  </si>
  <si>
    <t>Fixed effects meta-analysis RR</t>
  </si>
  <si>
    <t>Implied Protective efficacy</t>
  </si>
  <si>
    <t>Reduction in effectiveness due to IR. Subjective baseline assumption. 80% pessimistic assumption comes from calculation on the "Insecticide Resistance" sheet.</t>
  </si>
  <si>
    <t>Data from Lengeler 2004</t>
  </si>
  <si>
    <t>Notes from a conversation with Abraham Mnzava state: "A study by Mark Rowland in western Africa found 30-40% of the protective effect of nets to be due to factors other than the mosquitoes being killed. These effects have been documented in numerous studies."</t>
  </si>
  <si>
    <t>None - subjective. Note that "Years of protection" assumes a rate of decay of all distributed LLINs of 8% between 0-12 months, meant to account for all factors which might cause distributed nets not to be used.</t>
  </si>
  <si>
    <t>Likely to have similar benefits to deworming (the calculation is scaled by the baseline case's 20% impact of resistance, to maintain the assumption from previous years that in the baseline case the effects of deworming and ITNs are similar)</t>
  </si>
  <si>
    <t>DRC DHS 2013-14, p. 26</t>
  </si>
  <si>
    <t>DRC DHS 2013-14, p 194</t>
  </si>
  <si>
    <t>http://www.givewell.org/node/2365#Whatdoyougetforyourdollar</t>
  </si>
  <si>
    <t>Cost per person-year of protection to get same benefit as deworming: under-14's only</t>
  </si>
  <si>
    <t>Assumes that a person year of protection is half as good as getting dewormed for long-term benefits, due to long-term effects of malaria being less well studied</t>
  </si>
  <si>
    <t>Cost per person protected:</t>
  </si>
  <si>
    <t>Cost per death averted:</t>
  </si>
  <si>
    <t>(Malawi)</t>
  </si>
  <si>
    <t>(DRC)</t>
  </si>
  <si>
    <t>Other scenarios:</t>
  </si>
  <si>
    <t>Baseline scenario (repeated for reference)</t>
  </si>
  <si>
    <t>Averages (unweighted, since we don't know how many will go to each country)</t>
  </si>
  <si>
    <t>Using marginal cost</t>
  </si>
  <si>
    <t>DALYs per life taken from Lopez et al. 2006, Table 5.1, Pg 402 (http://www-wds.worldbank.org/external/default/WDSContentServer/WDSP/IB/2006/06/06/000160016_20060606163437/Rendered/PDF/364010PAPER0Gl101OFFICIAL0USE0ONLY1.pdf). We assume that all deaths averted are for 5-year-olds. These DALY figures do NOT include any benefits other than lives saved.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</si>
</sst>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quot;($&quot;#,##0.00\)"/>
    <numFmt numFmtId="173" formatCode="[$$-409]#,##0.00"/>
    <numFmt numFmtId="174" formatCode="[$-409]h:mm:ss\ AM/PM"/>
    <numFmt numFmtId="175" formatCode="0.00000000000000%"/>
    <numFmt numFmtId="176" formatCode="0.0%"/>
    <numFmt numFmtId="177" formatCode="&quot;$&quot;#,##0.00"/>
    <numFmt numFmtId="178" formatCode="0.000000000000000%"/>
    <numFmt numFmtId="179" formatCode="[$-409]dddd\,\ mmmm\ d\,\ yyyy"/>
  </numFmts>
  <fonts count="41">
    <font>
      <sz val="10"/>
      <name val="Arial"/>
      <family val="2"/>
    </font>
    <font>
      <u val="single"/>
      <sz val="10"/>
      <color indexed="12"/>
      <name val="Arial"/>
      <family val="2"/>
    </font>
    <font>
      <sz val="10"/>
      <color indexed="12"/>
      <name val="Arial"/>
      <family val="2"/>
    </font>
    <font>
      <i/>
      <sz val="10"/>
      <name val="Arial"/>
      <family val="2"/>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0" fillId="33" borderId="0" xfId="0" applyFill="1" applyAlignment="1">
      <alignment/>
    </xf>
    <xf numFmtId="0" fontId="0" fillId="0" borderId="0" xfId="0" applyFont="1" applyAlignment="1">
      <alignment/>
    </xf>
    <xf numFmtId="0" fontId="1" fillId="0" borderId="0" xfId="53" applyNumberFormat="1" applyFont="1" applyFill="1" applyBorder="1" applyAlignment="1" applyProtection="1">
      <alignment/>
      <protection/>
    </xf>
    <xf numFmtId="172" fontId="0" fillId="0" borderId="0" xfId="0" applyNumberFormat="1" applyAlignment="1">
      <alignment/>
    </xf>
    <xf numFmtId="9" fontId="0" fillId="34" borderId="0" xfId="0" applyNumberFormat="1" applyFill="1" applyAlignment="1">
      <alignment/>
    </xf>
    <xf numFmtId="4" fontId="0" fillId="34" borderId="0" xfId="0" applyNumberFormat="1" applyFill="1" applyAlignment="1">
      <alignment/>
    </xf>
    <xf numFmtId="0" fontId="0" fillId="0" borderId="0" xfId="0" applyFont="1" applyFill="1" applyAlignment="1">
      <alignment/>
    </xf>
    <xf numFmtId="9" fontId="0" fillId="0" borderId="0" xfId="0" applyNumberFormat="1" applyAlignment="1">
      <alignment/>
    </xf>
    <xf numFmtId="0" fontId="0" fillId="0" borderId="0" xfId="0" applyNumberFormat="1" applyAlignment="1">
      <alignment/>
    </xf>
    <xf numFmtId="0" fontId="2" fillId="0" borderId="0" xfId="0" applyFont="1" applyAlignment="1">
      <alignment/>
    </xf>
    <xf numFmtId="4" fontId="0" fillId="0" borderId="0" xfId="0" applyNumberFormat="1" applyAlignment="1">
      <alignment/>
    </xf>
    <xf numFmtId="172" fontId="0" fillId="33" borderId="0" xfId="0" applyNumberFormat="1" applyFill="1" applyAlignment="1">
      <alignment/>
    </xf>
    <xf numFmtId="0" fontId="3" fillId="0" borderId="0" xfId="0" applyFont="1" applyAlignment="1">
      <alignment/>
    </xf>
    <xf numFmtId="0" fontId="4" fillId="0" borderId="0" xfId="0" applyFont="1" applyAlignment="1">
      <alignment/>
    </xf>
    <xf numFmtId="0" fontId="0" fillId="0" borderId="0" xfId="0" applyAlignment="1" quotePrefix="1">
      <alignment/>
    </xf>
    <xf numFmtId="10" fontId="0" fillId="0" borderId="0" xfId="0" applyNumberFormat="1" applyAlignment="1">
      <alignment/>
    </xf>
    <xf numFmtId="176" fontId="0" fillId="0" borderId="0" xfId="0" applyNumberFormat="1" applyAlignment="1">
      <alignment/>
    </xf>
    <xf numFmtId="1" fontId="0" fillId="0" borderId="0" xfId="0" applyNumberFormat="1" applyAlignment="1">
      <alignment/>
    </xf>
    <xf numFmtId="9" fontId="0" fillId="33" borderId="0" xfId="0" applyNumberFormat="1" applyFill="1" applyAlignment="1">
      <alignment/>
    </xf>
    <xf numFmtId="9" fontId="4" fillId="0" borderId="0" xfId="0" applyNumberFormat="1" applyFont="1" applyAlignment="1">
      <alignment/>
    </xf>
    <xf numFmtId="10" fontId="4" fillId="0" borderId="0" xfId="0" applyNumberFormat="1" applyFont="1" applyAlignment="1">
      <alignment/>
    </xf>
    <xf numFmtId="0" fontId="0" fillId="0" borderId="0" xfId="0" applyAlignment="1">
      <alignment/>
    </xf>
    <xf numFmtId="177"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vewell.org/node/1798#Whatdoyougetforyourdollar" TargetMode="External" /><Relationship Id="rId2" Type="http://schemas.openxmlformats.org/officeDocument/2006/relationships/hyperlink" Target="http://blog.givewell.org/2012/10/18/revisiting-the-case-for-insecticide-treated-nets-itns/" TargetMode="External" /></Relationships>
</file>

<file path=xl/worksheets/sheet1.xml><?xml version="1.0" encoding="utf-8"?>
<worksheet xmlns="http://schemas.openxmlformats.org/spreadsheetml/2006/main" xmlns:r="http://schemas.openxmlformats.org/officeDocument/2006/relationships">
  <dimension ref="A1:W53"/>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8.8515625" defaultRowHeight="12.75"/>
  <cols>
    <col min="1" max="1" width="27.8515625" style="0" customWidth="1"/>
    <col min="2" max="2" width="25.8515625" style="0" customWidth="1"/>
    <col min="3" max="3" width="16.421875" style="0" bestFit="1" customWidth="1"/>
    <col min="4" max="4" width="7.421875" style="0" customWidth="1"/>
    <col min="5" max="5" width="16.421875" style="0" bestFit="1" customWidth="1"/>
    <col min="6" max="6" width="1.28515625" style="0" customWidth="1"/>
    <col min="7" max="7" width="14.421875" style="0" bestFit="1" customWidth="1"/>
    <col min="8" max="8" width="17.00390625" style="0" bestFit="1" customWidth="1"/>
    <col min="9" max="9" width="18.421875" style="0" bestFit="1" customWidth="1"/>
    <col min="10" max="10" width="1.28515625" style="0" customWidth="1"/>
    <col min="11" max="11" width="13.421875" style="0" customWidth="1"/>
    <col min="12" max="12" width="14.00390625" style="0" customWidth="1"/>
    <col min="13" max="13" width="14.28125" style="0" customWidth="1"/>
    <col min="14" max="14" width="13.28125" style="0" customWidth="1"/>
    <col min="15" max="15" width="14.28125" style="0" customWidth="1"/>
    <col min="16" max="16" width="13.421875" style="0" customWidth="1"/>
    <col min="17" max="17" width="1.28515625" style="0" customWidth="1"/>
    <col min="18" max="18" width="15.00390625" style="0" customWidth="1"/>
    <col min="19" max="19" width="12.8515625" style="0" customWidth="1"/>
    <col min="20" max="20" width="15.140625" style="0" customWidth="1"/>
    <col min="21" max="21" width="13.421875" style="0" customWidth="1"/>
    <col min="22" max="22" width="13.00390625" style="0" customWidth="1"/>
    <col min="23" max="23" width="14.28125" style="0" customWidth="1"/>
  </cols>
  <sheetData>
    <row r="1" spans="3:23" ht="12">
      <c r="C1" s="14" t="s">
        <v>0</v>
      </c>
      <c r="E1" s="14" t="s">
        <v>0</v>
      </c>
      <c r="F1" s="1"/>
      <c r="G1" t="s">
        <v>144</v>
      </c>
      <c r="H1" s="2" t="s">
        <v>147</v>
      </c>
      <c r="I1" s="2" t="s">
        <v>147</v>
      </c>
      <c r="J1" s="1"/>
      <c r="K1" t="s">
        <v>145</v>
      </c>
      <c r="L1" t="s">
        <v>1</v>
      </c>
      <c r="M1" t="s">
        <v>123</v>
      </c>
      <c r="N1" t="s">
        <v>124</v>
      </c>
      <c r="O1" t="s">
        <v>2</v>
      </c>
      <c r="P1" t="s">
        <v>3</v>
      </c>
      <c r="Q1" s="1"/>
      <c r="R1" t="s">
        <v>145</v>
      </c>
      <c r="S1" t="s">
        <v>1</v>
      </c>
      <c r="T1" t="s">
        <v>123</v>
      </c>
      <c r="U1" t="s">
        <v>124</v>
      </c>
      <c r="V1" t="s">
        <v>2</v>
      </c>
      <c r="W1" t="s">
        <v>3</v>
      </c>
    </row>
    <row r="2" spans="2:23" ht="12">
      <c r="B2" t="s">
        <v>4</v>
      </c>
      <c r="C2" s="2" t="s">
        <v>142</v>
      </c>
      <c r="E2" s="2" t="s">
        <v>143</v>
      </c>
      <c r="F2" s="1"/>
      <c r="H2" s="2" t="s">
        <v>142</v>
      </c>
      <c r="I2" s="2" t="s">
        <v>143</v>
      </c>
      <c r="J2" s="1"/>
      <c r="K2" s="2" t="s">
        <v>142</v>
      </c>
      <c r="L2" s="2" t="s">
        <v>142</v>
      </c>
      <c r="M2" s="2" t="s">
        <v>142</v>
      </c>
      <c r="N2" s="2" t="s">
        <v>142</v>
      </c>
      <c r="O2" s="2" t="s">
        <v>142</v>
      </c>
      <c r="P2" s="2" t="s">
        <v>142</v>
      </c>
      <c r="Q2" s="1"/>
      <c r="R2" t="s">
        <v>143</v>
      </c>
      <c r="S2" t="s">
        <v>143</v>
      </c>
      <c r="T2" t="s">
        <v>143</v>
      </c>
      <c r="U2" t="s">
        <v>143</v>
      </c>
      <c r="V2" t="s">
        <v>143</v>
      </c>
      <c r="W2" t="s">
        <v>143</v>
      </c>
    </row>
    <row r="3" spans="1:23" ht="12">
      <c r="A3" t="s">
        <v>5</v>
      </c>
      <c r="B3" s="3" t="s">
        <v>6</v>
      </c>
      <c r="C3" s="4">
        <v>5.3</v>
      </c>
      <c r="D3" s="3"/>
      <c r="E3" s="4">
        <v>7.5</v>
      </c>
      <c r="F3" s="1"/>
      <c r="G3" s="3"/>
      <c r="H3" s="4">
        <f>5.3-0.82</f>
        <v>4.4799999999999995</v>
      </c>
      <c r="I3" s="4">
        <f>7.5-0.82</f>
        <v>6.68</v>
      </c>
      <c r="J3" s="1"/>
      <c r="K3" s="4">
        <v>5.3</v>
      </c>
      <c r="L3" s="4">
        <v>5.3</v>
      </c>
      <c r="M3" s="4">
        <v>5.3</v>
      </c>
      <c r="N3" s="4">
        <v>5.3</v>
      </c>
      <c r="O3" s="4">
        <v>5.3</v>
      </c>
      <c r="P3" s="4">
        <v>5.3</v>
      </c>
      <c r="Q3" s="1"/>
      <c r="R3" s="4">
        <v>7.5</v>
      </c>
      <c r="S3" s="4">
        <v>7.5</v>
      </c>
      <c r="T3" s="4">
        <v>7.5</v>
      </c>
      <c r="U3" s="4">
        <v>7.5</v>
      </c>
      <c r="V3" s="4">
        <v>7.5</v>
      </c>
      <c r="W3" s="4">
        <v>7.5</v>
      </c>
    </row>
    <row r="4" spans="1:23" ht="12">
      <c r="A4" t="s">
        <v>7</v>
      </c>
      <c r="B4" t="s">
        <v>133</v>
      </c>
      <c r="C4" s="5">
        <v>0.05</v>
      </c>
      <c r="E4" s="5">
        <v>0.05</v>
      </c>
      <c r="F4" s="1"/>
      <c r="H4" s="5">
        <v>0.05</v>
      </c>
      <c r="I4" s="5">
        <v>0.05</v>
      </c>
      <c r="J4" s="1"/>
      <c r="K4" s="5">
        <v>0.05</v>
      </c>
      <c r="L4" s="5">
        <v>0.05</v>
      </c>
      <c r="M4" s="5">
        <v>0.05</v>
      </c>
      <c r="N4" s="5">
        <v>0.05</v>
      </c>
      <c r="O4" s="5">
        <v>0.05</v>
      </c>
      <c r="P4" s="5">
        <v>0.05</v>
      </c>
      <c r="Q4" s="1"/>
      <c r="R4" s="5">
        <v>0.05</v>
      </c>
      <c r="S4" s="5">
        <v>0.05</v>
      </c>
      <c r="T4" s="5">
        <v>0.05</v>
      </c>
      <c r="U4" s="5">
        <v>0.05</v>
      </c>
      <c r="V4" s="5">
        <v>0.05</v>
      </c>
      <c r="W4" s="5">
        <v>0.05</v>
      </c>
    </row>
    <row r="5" spans="1:23" ht="12">
      <c r="A5" t="s">
        <v>8</v>
      </c>
      <c r="B5" t="s">
        <v>9</v>
      </c>
      <c r="C5">
        <v>1.8</v>
      </c>
      <c r="E5">
        <v>1.8</v>
      </c>
      <c r="F5" s="1"/>
      <c r="H5">
        <v>1.8</v>
      </c>
      <c r="I5">
        <v>1.8</v>
      </c>
      <c r="J5" s="1"/>
      <c r="K5">
        <v>1.8</v>
      </c>
      <c r="L5">
        <v>1.8</v>
      </c>
      <c r="M5">
        <v>1.8</v>
      </c>
      <c r="N5">
        <v>1.8</v>
      </c>
      <c r="O5">
        <v>1.8</v>
      </c>
      <c r="P5">
        <v>1.8</v>
      </c>
      <c r="Q5" s="1"/>
      <c r="R5">
        <v>1.8</v>
      </c>
      <c r="S5">
        <v>1.8</v>
      </c>
      <c r="T5">
        <v>1.8</v>
      </c>
      <c r="U5">
        <v>1.8</v>
      </c>
      <c r="V5">
        <v>1.8</v>
      </c>
      <c r="W5">
        <v>1.8</v>
      </c>
    </row>
    <row r="6" spans="1:23" ht="12">
      <c r="A6" t="s">
        <v>10</v>
      </c>
      <c r="B6" t="s">
        <v>11</v>
      </c>
      <c r="C6" s="6">
        <f>0.92+0.8+0.5</f>
        <v>2.22</v>
      </c>
      <c r="E6" s="6">
        <f>0.92+0.8+0.5</f>
        <v>2.22</v>
      </c>
      <c r="F6" s="1"/>
      <c r="H6" s="6">
        <f>0.92+0.8+0.5</f>
        <v>2.22</v>
      </c>
      <c r="I6" s="6">
        <f>0.92+0.8+0.5</f>
        <v>2.22</v>
      </c>
      <c r="J6" s="1"/>
      <c r="K6" s="6">
        <f>0.92+0.8+0.5</f>
        <v>2.22</v>
      </c>
      <c r="L6" s="6">
        <f>K6</f>
        <v>2.22</v>
      </c>
      <c r="M6" s="6">
        <f>L6</f>
        <v>2.22</v>
      </c>
      <c r="N6" s="6">
        <f>M6</f>
        <v>2.22</v>
      </c>
      <c r="O6" s="6">
        <v>1</v>
      </c>
      <c r="P6" s="6">
        <v>3</v>
      </c>
      <c r="Q6" s="1"/>
      <c r="R6" s="6">
        <f>0.92+0.8+0.5</f>
        <v>2.22</v>
      </c>
      <c r="S6" s="6">
        <f>R6</f>
        <v>2.22</v>
      </c>
      <c r="T6" s="6">
        <f>S6</f>
        <v>2.22</v>
      </c>
      <c r="U6" s="6">
        <f>T6</f>
        <v>2.22</v>
      </c>
      <c r="V6" s="6">
        <v>1</v>
      </c>
      <c r="W6" s="6">
        <v>3</v>
      </c>
    </row>
    <row r="7" spans="1:23" s="8" customFormat="1" ht="12">
      <c r="A7" t="s">
        <v>120</v>
      </c>
      <c r="B7" t="s">
        <v>130</v>
      </c>
      <c r="C7" s="5">
        <v>0.2</v>
      </c>
      <c r="D7"/>
      <c r="E7" s="5">
        <v>0.2</v>
      </c>
      <c r="F7" s="19"/>
      <c r="G7"/>
      <c r="H7" s="5">
        <v>0.2</v>
      </c>
      <c r="I7" s="5">
        <v>0.2</v>
      </c>
      <c r="J7" s="19"/>
      <c r="K7" s="5">
        <v>0.2</v>
      </c>
      <c r="L7" s="5">
        <v>0.2</v>
      </c>
      <c r="M7" s="5">
        <v>0.8</v>
      </c>
      <c r="N7" s="5">
        <v>0</v>
      </c>
      <c r="O7" s="5">
        <v>0.2</v>
      </c>
      <c r="P7" s="5">
        <v>0.2</v>
      </c>
      <c r="Q7" s="19"/>
      <c r="R7" s="5">
        <v>0.2</v>
      </c>
      <c r="S7" s="5">
        <v>0.2</v>
      </c>
      <c r="T7" s="5">
        <v>0.8</v>
      </c>
      <c r="U7" s="5">
        <v>0</v>
      </c>
      <c r="V7" s="5">
        <v>0.2</v>
      </c>
      <c r="W7" s="5">
        <v>0.2</v>
      </c>
    </row>
    <row r="8" spans="1:23" ht="12">
      <c r="A8" t="s">
        <v>12</v>
      </c>
      <c r="B8" s="7" t="s">
        <v>13</v>
      </c>
      <c r="C8" s="8">
        <v>0.172</v>
      </c>
      <c r="D8" s="7" t="s">
        <v>135</v>
      </c>
      <c r="E8" s="8">
        <v>0.199</v>
      </c>
      <c r="F8" s="1"/>
      <c r="G8" s="7"/>
      <c r="H8" s="8">
        <v>0.172</v>
      </c>
      <c r="I8" s="8">
        <v>0.199</v>
      </c>
      <c r="J8" s="1"/>
      <c r="K8" s="8">
        <v>0.172</v>
      </c>
      <c r="L8" s="8">
        <v>0.172</v>
      </c>
      <c r="M8" s="8">
        <v>0.172</v>
      </c>
      <c r="N8" s="8">
        <v>0.172</v>
      </c>
      <c r="O8" s="8">
        <v>0.172</v>
      </c>
      <c r="P8" s="8">
        <v>0.172</v>
      </c>
      <c r="Q8" s="1"/>
      <c r="R8" s="8">
        <v>0.199</v>
      </c>
      <c r="S8" s="8">
        <v>0.199</v>
      </c>
      <c r="T8" s="8">
        <v>0.199</v>
      </c>
      <c r="U8" s="8">
        <v>0.199</v>
      </c>
      <c r="V8" s="8">
        <v>0.199</v>
      </c>
      <c r="W8" s="8">
        <v>0.199</v>
      </c>
    </row>
    <row r="9" spans="1:23" ht="12">
      <c r="A9" t="s">
        <v>14</v>
      </c>
      <c r="B9" s="7" t="s">
        <v>13</v>
      </c>
      <c r="C9" s="8">
        <f>17.1%+14.7%</f>
        <v>0.318</v>
      </c>
      <c r="D9" s="7" t="s">
        <v>135</v>
      </c>
      <c r="E9" s="8">
        <f>17.1%+14.5%</f>
        <v>0.316</v>
      </c>
      <c r="F9" s="1"/>
      <c r="G9" s="7"/>
      <c r="H9" s="8">
        <f>17.1%+14.7%</f>
        <v>0.318</v>
      </c>
      <c r="I9" s="8">
        <f>17.1%+14.5%</f>
        <v>0.316</v>
      </c>
      <c r="J9" s="1"/>
      <c r="K9" s="8">
        <f aca="true" t="shared" si="0" ref="K9:P9">17.1%+14.7%</f>
        <v>0.318</v>
      </c>
      <c r="L9" s="8">
        <f t="shared" si="0"/>
        <v>0.318</v>
      </c>
      <c r="M9" s="8">
        <f t="shared" si="0"/>
        <v>0.318</v>
      </c>
      <c r="N9" s="8">
        <f t="shared" si="0"/>
        <v>0.318</v>
      </c>
      <c r="O9" s="8">
        <f t="shared" si="0"/>
        <v>0.318</v>
      </c>
      <c r="P9" s="8">
        <f t="shared" si="0"/>
        <v>0.318</v>
      </c>
      <c r="Q9" s="1"/>
      <c r="R9" s="8">
        <f aca="true" t="shared" si="1" ref="R9:W9">17.1%+14.5%</f>
        <v>0.316</v>
      </c>
      <c r="S9" s="8">
        <f t="shared" si="1"/>
        <v>0.316</v>
      </c>
      <c r="T9" s="8">
        <f t="shared" si="1"/>
        <v>0.316</v>
      </c>
      <c r="U9" s="8">
        <f t="shared" si="1"/>
        <v>0.316</v>
      </c>
      <c r="V9" s="8">
        <f t="shared" si="1"/>
        <v>0.316</v>
      </c>
      <c r="W9" s="8">
        <f t="shared" si="1"/>
        <v>0.316</v>
      </c>
    </row>
    <row r="10" spans="1:23" ht="12">
      <c r="A10" t="s">
        <v>15</v>
      </c>
      <c r="B10" t="s">
        <v>16</v>
      </c>
      <c r="C10" s="9">
        <f>5.53/1000</f>
        <v>0.00553</v>
      </c>
      <c r="E10" s="9">
        <f aca="true" t="shared" si="2" ref="E10:P10">5.53/1000</f>
        <v>0.00553</v>
      </c>
      <c r="F10" s="1"/>
      <c r="H10" s="9">
        <f>5.53/1000</f>
        <v>0.00553</v>
      </c>
      <c r="I10" s="9">
        <f t="shared" si="2"/>
        <v>0.00553</v>
      </c>
      <c r="J10" s="1"/>
      <c r="K10" s="9">
        <f t="shared" si="2"/>
        <v>0.00553</v>
      </c>
      <c r="L10" s="9">
        <f t="shared" si="2"/>
        <v>0.00553</v>
      </c>
      <c r="M10" s="9">
        <f t="shared" si="2"/>
        <v>0.00553</v>
      </c>
      <c r="N10" s="9">
        <f t="shared" si="2"/>
        <v>0.00553</v>
      </c>
      <c r="O10" s="9">
        <f t="shared" si="2"/>
        <v>0.00553</v>
      </c>
      <c r="P10" s="9">
        <f t="shared" si="2"/>
        <v>0.00553</v>
      </c>
      <c r="Q10" s="1"/>
      <c r="R10" s="9">
        <f aca="true" t="shared" si="3" ref="R10:W10">5.53/1000</f>
        <v>0.00553</v>
      </c>
      <c r="S10" s="9">
        <f t="shared" si="3"/>
        <v>0.00553</v>
      </c>
      <c r="T10" s="9">
        <f t="shared" si="3"/>
        <v>0.00553</v>
      </c>
      <c r="U10" s="9">
        <f t="shared" si="3"/>
        <v>0.00553</v>
      </c>
      <c r="V10" s="9">
        <f t="shared" si="3"/>
        <v>0.00553</v>
      </c>
      <c r="W10" s="9">
        <f t="shared" si="3"/>
        <v>0.00553</v>
      </c>
    </row>
    <row r="11" spans="1:23" ht="12">
      <c r="A11" t="s">
        <v>122</v>
      </c>
      <c r="B11" s="10" t="s">
        <v>17</v>
      </c>
      <c r="C11" s="8">
        <v>0.7</v>
      </c>
      <c r="D11" s="10"/>
      <c r="E11" s="8">
        <v>0.7</v>
      </c>
      <c r="F11" s="1"/>
      <c r="G11" s="10"/>
      <c r="H11" s="8">
        <v>0.7</v>
      </c>
      <c r="I11" s="8">
        <v>0.7</v>
      </c>
      <c r="J11" s="1"/>
      <c r="K11" s="8">
        <v>0.7</v>
      </c>
      <c r="L11" s="8">
        <v>0.7</v>
      </c>
      <c r="M11" s="8">
        <v>0.7</v>
      </c>
      <c r="N11" s="8">
        <v>0.7</v>
      </c>
      <c r="O11" s="8">
        <v>0.7</v>
      </c>
      <c r="P11" s="8">
        <v>0.7</v>
      </c>
      <c r="Q11" s="1"/>
      <c r="R11" s="8">
        <v>0.7</v>
      </c>
      <c r="S11" s="8">
        <v>0.7</v>
      </c>
      <c r="T11" s="8">
        <v>0.7</v>
      </c>
      <c r="U11" s="8">
        <v>0.7</v>
      </c>
      <c r="V11" s="8">
        <v>0.7</v>
      </c>
      <c r="W11" s="8">
        <v>0.7</v>
      </c>
    </row>
    <row r="12" spans="1:23" ht="12">
      <c r="A12" t="s">
        <v>121</v>
      </c>
      <c r="B12" t="s">
        <v>34</v>
      </c>
      <c r="C12" s="9">
        <f>C10*C11*(1-C7)</f>
        <v>0.0030968000000000002</v>
      </c>
      <c r="E12" s="9">
        <f>E10*E11*(1-E7)</f>
        <v>0.0030968000000000002</v>
      </c>
      <c r="F12" s="1"/>
      <c r="H12" s="9">
        <f>H10*H11*(1-H7)</f>
        <v>0.0030968000000000002</v>
      </c>
      <c r="I12" s="9">
        <f>I10*I11*(1-I7)</f>
        <v>0.0030968000000000002</v>
      </c>
      <c r="J12" s="1"/>
      <c r="K12" s="9">
        <f aca="true" t="shared" si="4" ref="K12:P12">K10*K11*(1-K7)</f>
        <v>0.0030968000000000002</v>
      </c>
      <c r="L12" s="9">
        <f t="shared" si="4"/>
        <v>0.0030968000000000002</v>
      </c>
      <c r="M12" s="9">
        <f t="shared" si="4"/>
        <v>0.0007741999999999998</v>
      </c>
      <c r="N12" s="9">
        <f t="shared" si="4"/>
        <v>0.003871</v>
      </c>
      <c r="O12" s="9">
        <f t="shared" si="4"/>
        <v>0.0030968000000000002</v>
      </c>
      <c r="P12" s="9">
        <f t="shared" si="4"/>
        <v>0.0030968000000000002</v>
      </c>
      <c r="Q12" s="1"/>
      <c r="R12" s="9">
        <f aca="true" t="shared" si="5" ref="R12:W12">R10*R11*(1-R7)</f>
        <v>0.0030968000000000002</v>
      </c>
      <c r="S12" s="9">
        <f t="shared" si="5"/>
        <v>0.0030968000000000002</v>
      </c>
      <c r="T12" s="9">
        <f t="shared" si="5"/>
        <v>0.0007741999999999998</v>
      </c>
      <c r="U12" s="9">
        <f t="shared" si="5"/>
        <v>0.003871</v>
      </c>
      <c r="V12" s="9">
        <f t="shared" si="5"/>
        <v>0.0030968000000000002</v>
      </c>
      <c r="W12" s="9">
        <f t="shared" si="5"/>
        <v>0.0030968000000000002</v>
      </c>
    </row>
    <row r="13" spans="6:17" ht="12">
      <c r="F13" s="1"/>
      <c r="J13" s="1"/>
      <c r="Q13" s="1"/>
    </row>
    <row r="14" spans="1:23" ht="12">
      <c r="A14" t="s">
        <v>18</v>
      </c>
      <c r="B14" s="7" t="s">
        <v>19</v>
      </c>
      <c r="C14" s="5">
        <f>29%/0.7</f>
        <v>0.41428571428571426</v>
      </c>
      <c r="D14" s="7" t="s">
        <v>136</v>
      </c>
      <c r="E14" s="5">
        <f>50.2%/0.7</f>
        <v>0.7171428571428572</v>
      </c>
      <c r="F14" s="1"/>
      <c r="G14" s="7"/>
      <c r="H14" s="5">
        <f>29%/0.7</f>
        <v>0.41428571428571426</v>
      </c>
      <c r="I14" s="5">
        <f>50.2%/0.7</f>
        <v>0.7171428571428572</v>
      </c>
      <c r="J14" s="1"/>
      <c r="K14" s="5">
        <f>29%/0.7</f>
        <v>0.41428571428571426</v>
      </c>
      <c r="L14" s="5">
        <f>K14</f>
        <v>0.41428571428571426</v>
      </c>
      <c r="M14" s="5">
        <f aca="true" t="shared" si="6" ref="M14:P16">L14</f>
        <v>0.41428571428571426</v>
      </c>
      <c r="N14" s="5">
        <f t="shared" si="6"/>
        <v>0.41428571428571426</v>
      </c>
      <c r="O14" s="5">
        <f t="shared" si="6"/>
        <v>0.41428571428571426</v>
      </c>
      <c r="P14" s="5">
        <f t="shared" si="6"/>
        <v>0.41428571428571426</v>
      </c>
      <c r="Q14" s="1"/>
      <c r="R14" s="5">
        <f>50.2%/0.7</f>
        <v>0.7171428571428572</v>
      </c>
      <c r="S14" s="5">
        <f aca="true" t="shared" si="7" ref="S14:W16">R14</f>
        <v>0.7171428571428572</v>
      </c>
      <c r="T14" s="5">
        <f t="shared" si="7"/>
        <v>0.7171428571428572</v>
      </c>
      <c r="U14" s="5">
        <f t="shared" si="7"/>
        <v>0.7171428571428572</v>
      </c>
      <c r="V14" s="5">
        <f t="shared" si="7"/>
        <v>0.7171428571428572</v>
      </c>
      <c r="W14" s="5">
        <f t="shared" si="7"/>
        <v>0.7171428571428572</v>
      </c>
    </row>
    <row r="15" spans="1:23" ht="12">
      <c r="A15" t="s">
        <v>20</v>
      </c>
      <c r="B15" s="7" t="s">
        <v>19</v>
      </c>
      <c r="C15" s="5">
        <f>37.9%/0.7</f>
        <v>0.5414285714285715</v>
      </c>
      <c r="D15" s="7" t="s">
        <v>136</v>
      </c>
      <c r="E15" s="5">
        <f>55.8%/0.7</f>
        <v>0.7971428571428572</v>
      </c>
      <c r="F15" s="1"/>
      <c r="G15" s="7"/>
      <c r="H15" s="5">
        <f>37.9%/0.7</f>
        <v>0.5414285714285715</v>
      </c>
      <c r="I15" s="5">
        <f>55.8%/0.7</f>
        <v>0.7971428571428572</v>
      </c>
      <c r="J15" s="1"/>
      <c r="K15" s="5">
        <f>37.9%/0.7</f>
        <v>0.5414285714285715</v>
      </c>
      <c r="L15" s="5">
        <f>K15</f>
        <v>0.5414285714285715</v>
      </c>
      <c r="M15" s="5">
        <f t="shared" si="6"/>
        <v>0.5414285714285715</v>
      </c>
      <c r="N15" s="5">
        <f t="shared" si="6"/>
        <v>0.5414285714285715</v>
      </c>
      <c r="O15" s="5">
        <f t="shared" si="6"/>
        <v>0.5414285714285715</v>
      </c>
      <c r="P15" s="5">
        <f t="shared" si="6"/>
        <v>0.5414285714285715</v>
      </c>
      <c r="Q15" s="1"/>
      <c r="R15" s="5">
        <f>55.8%/0.7</f>
        <v>0.7971428571428572</v>
      </c>
      <c r="S15" s="5">
        <f t="shared" si="7"/>
        <v>0.7971428571428572</v>
      </c>
      <c r="T15" s="5">
        <f t="shared" si="7"/>
        <v>0.7971428571428572</v>
      </c>
      <c r="U15" s="5">
        <f t="shared" si="7"/>
        <v>0.7971428571428572</v>
      </c>
      <c r="V15" s="5">
        <f t="shared" si="7"/>
        <v>0.7971428571428572</v>
      </c>
      <c r="W15" s="5">
        <f t="shared" si="7"/>
        <v>0.7971428571428572</v>
      </c>
    </row>
    <row r="16" spans="1:23" ht="12">
      <c r="A16" t="s">
        <v>21</v>
      </c>
      <c r="B16" s="7" t="s">
        <v>19</v>
      </c>
      <c r="C16" s="5">
        <f>20.1%/0.7</f>
        <v>0.2871428571428572</v>
      </c>
      <c r="D16" s="7" t="s">
        <v>136</v>
      </c>
      <c r="E16" s="5">
        <f>41.6%/0.7</f>
        <v>0.5942857142857144</v>
      </c>
      <c r="F16" s="1"/>
      <c r="G16" s="7"/>
      <c r="H16" s="5">
        <f>20.1%/0.7</f>
        <v>0.2871428571428572</v>
      </c>
      <c r="I16" s="5">
        <f>41.6%/0.7</f>
        <v>0.5942857142857144</v>
      </c>
      <c r="J16" s="1"/>
      <c r="K16" s="5">
        <f>20.1%/0.7</f>
        <v>0.2871428571428572</v>
      </c>
      <c r="L16" s="5">
        <f>K16</f>
        <v>0.2871428571428572</v>
      </c>
      <c r="M16" s="5">
        <f t="shared" si="6"/>
        <v>0.2871428571428572</v>
      </c>
      <c r="N16" s="5">
        <f t="shared" si="6"/>
        <v>0.2871428571428572</v>
      </c>
      <c r="O16" s="5">
        <f t="shared" si="6"/>
        <v>0.2871428571428572</v>
      </c>
      <c r="P16" s="5">
        <f t="shared" si="6"/>
        <v>0.2871428571428572</v>
      </c>
      <c r="Q16" s="1"/>
      <c r="R16" s="5">
        <f>41.6%/0.7</f>
        <v>0.5942857142857144</v>
      </c>
      <c r="S16" s="5">
        <f t="shared" si="7"/>
        <v>0.5942857142857144</v>
      </c>
      <c r="T16" s="5">
        <f t="shared" si="7"/>
        <v>0.5942857142857144</v>
      </c>
      <c r="U16" s="5">
        <f t="shared" si="7"/>
        <v>0.5942857142857144</v>
      </c>
      <c r="V16" s="5">
        <f t="shared" si="7"/>
        <v>0.5942857142857144</v>
      </c>
      <c r="W16" s="5">
        <f t="shared" si="7"/>
        <v>0.5942857142857144</v>
      </c>
    </row>
    <row r="17" spans="1:23" ht="12">
      <c r="A17" t="s">
        <v>22</v>
      </c>
      <c r="B17" t="s">
        <v>23</v>
      </c>
      <c r="C17" s="5">
        <v>0.5</v>
      </c>
      <c r="E17" s="5">
        <v>0.5</v>
      </c>
      <c r="F17" s="1"/>
      <c r="H17" s="5">
        <v>0.5</v>
      </c>
      <c r="I17" s="5">
        <v>0.5</v>
      </c>
      <c r="J17" s="1"/>
      <c r="K17" s="5">
        <v>0.5</v>
      </c>
      <c r="L17" s="5">
        <v>0.1</v>
      </c>
      <c r="M17" s="5">
        <v>0.5</v>
      </c>
      <c r="N17" s="5">
        <v>0.5</v>
      </c>
      <c r="O17" s="5">
        <v>0.5</v>
      </c>
      <c r="P17" s="5">
        <v>0.5</v>
      </c>
      <c r="Q17" s="1"/>
      <c r="R17" s="5">
        <v>0.5</v>
      </c>
      <c r="S17" s="5">
        <v>0.1</v>
      </c>
      <c r="T17" s="5">
        <v>0.5</v>
      </c>
      <c r="U17" s="5">
        <v>0.5</v>
      </c>
      <c r="V17" s="5">
        <v>0.5</v>
      </c>
      <c r="W17" s="5">
        <v>0.5</v>
      </c>
    </row>
    <row r="18" spans="1:23" ht="12">
      <c r="A18" t="s">
        <v>24</v>
      </c>
      <c r="B18" t="s">
        <v>25</v>
      </c>
      <c r="C18" s="8">
        <f>C17*C14+(1-C17)*C15</f>
        <v>0.47785714285714287</v>
      </c>
      <c r="E18" s="8">
        <f>E17*E14+(1-E17)*E15</f>
        <v>0.7571428571428571</v>
      </c>
      <c r="F18" s="1"/>
      <c r="H18" s="8">
        <f>H17*H14+(1-H17)*H15</f>
        <v>0.47785714285714287</v>
      </c>
      <c r="I18" s="8">
        <f>I17*I14+(1-I17)*I15</f>
        <v>0.7571428571428571</v>
      </c>
      <c r="J18" s="1"/>
      <c r="K18" s="8">
        <f aca="true" t="shared" si="8" ref="K18:P18">K17*K14+(1-K17)*K15</f>
        <v>0.47785714285714287</v>
      </c>
      <c r="L18" s="8">
        <f t="shared" si="8"/>
        <v>0.5287142857142857</v>
      </c>
      <c r="M18" s="8">
        <f t="shared" si="8"/>
        <v>0.47785714285714287</v>
      </c>
      <c r="N18" s="8">
        <f t="shared" si="8"/>
        <v>0.47785714285714287</v>
      </c>
      <c r="O18" s="8">
        <f t="shared" si="8"/>
        <v>0.47785714285714287</v>
      </c>
      <c r="P18" s="8">
        <f t="shared" si="8"/>
        <v>0.47785714285714287</v>
      </c>
      <c r="Q18" s="1"/>
      <c r="R18" s="8">
        <f aca="true" t="shared" si="9" ref="R18:W18">R17*R14+(1-R17)*R15</f>
        <v>0.7571428571428571</v>
      </c>
      <c r="S18" s="8">
        <f t="shared" si="9"/>
        <v>0.7891428571428571</v>
      </c>
      <c r="T18" s="8">
        <f t="shared" si="9"/>
        <v>0.7571428571428571</v>
      </c>
      <c r="U18" s="8">
        <f t="shared" si="9"/>
        <v>0.7571428571428571</v>
      </c>
      <c r="V18" s="8">
        <f t="shared" si="9"/>
        <v>0.7571428571428571</v>
      </c>
      <c r="W18" s="8">
        <f t="shared" si="9"/>
        <v>0.7571428571428571</v>
      </c>
    </row>
    <row r="19" spans="1:23" ht="12">
      <c r="A19" t="s">
        <v>26</v>
      </c>
      <c r="B19" t="s">
        <v>25</v>
      </c>
      <c r="C19" s="8">
        <f>C17*C14+(1-C17)*C16</f>
        <v>0.35071428571428576</v>
      </c>
      <c r="E19" s="8">
        <f>E17*E14+(1-E17)*E16</f>
        <v>0.6557142857142858</v>
      </c>
      <c r="F19" s="1"/>
      <c r="H19" s="8">
        <f>H17*H14+(1-H17)*H16</f>
        <v>0.35071428571428576</v>
      </c>
      <c r="I19" s="8">
        <f>I17*I14+(1-I17)*I16</f>
        <v>0.6557142857142858</v>
      </c>
      <c r="J19" s="1"/>
      <c r="K19" s="8">
        <f aca="true" t="shared" si="10" ref="K19:P19">K17*K14+(1-K17)*K16</f>
        <v>0.35071428571428576</v>
      </c>
      <c r="L19" s="8">
        <f t="shared" si="10"/>
        <v>0.29985714285714293</v>
      </c>
      <c r="M19" s="8">
        <f t="shared" si="10"/>
        <v>0.35071428571428576</v>
      </c>
      <c r="N19" s="8">
        <f t="shared" si="10"/>
        <v>0.35071428571428576</v>
      </c>
      <c r="O19" s="8">
        <f t="shared" si="10"/>
        <v>0.35071428571428576</v>
      </c>
      <c r="P19" s="8">
        <f t="shared" si="10"/>
        <v>0.35071428571428576</v>
      </c>
      <c r="Q19" s="1"/>
      <c r="R19" s="8">
        <f aca="true" t="shared" si="11" ref="R19:W19">R17*R14+(1-R17)*R16</f>
        <v>0.6557142857142858</v>
      </c>
      <c r="S19" s="8">
        <f t="shared" si="11"/>
        <v>0.6065714285714288</v>
      </c>
      <c r="T19" s="8">
        <f t="shared" si="11"/>
        <v>0.6557142857142858</v>
      </c>
      <c r="U19" s="8">
        <f t="shared" si="11"/>
        <v>0.6557142857142858</v>
      </c>
      <c r="V19" s="8">
        <f t="shared" si="11"/>
        <v>0.6557142857142858</v>
      </c>
      <c r="W19" s="8">
        <f t="shared" si="11"/>
        <v>0.6557142857142858</v>
      </c>
    </row>
    <row r="20" spans="1:23" ht="12">
      <c r="A20" t="s">
        <v>27</v>
      </c>
      <c r="B20" t="s">
        <v>28</v>
      </c>
      <c r="C20" s="8">
        <f>((100%-C18)*C8)/((1-C14))</f>
        <v>0.15333170731707316</v>
      </c>
      <c r="E20" s="8">
        <f>((100%-E18)*E8)/((1-E14))</f>
        <v>0.1708585858585859</v>
      </c>
      <c r="F20" s="1"/>
      <c r="H20" s="8">
        <f>((100%-H18)*H8)/((1-H14))</f>
        <v>0.15333170731707316</v>
      </c>
      <c r="I20" s="8">
        <f>((100%-I18)*I8)/((1-I14))</f>
        <v>0.1708585858585859</v>
      </c>
      <c r="J20" s="1"/>
      <c r="K20" s="8">
        <f aca="true" t="shared" si="12" ref="K20:P20">((100%-K18)*K8)/((1-K14))</f>
        <v>0.15333170731707316</v>
      </c>
      <c r="L20" s="8">
        <f t="shared" si="12"/>
        <v>0.13839707317073172</v>
      </c>
      <c r="M20" s="8">
        <f t="shared" si="12"/>
        <v>0.15333170731707316</v>
      </c>
      <c r="N20" s="8">
        <f t="shared" si="12"/>
        <v>0.15333170731707316</v>
      </c>
      <c r="O20" s="8">
        <f t="shared" si="12"/>
        <v>0.15333170731707316</v>
      </c>
      <c r="P20" s="8">
        <f t="shared" si="12"/>
        <v>0.15333170731707316</v>
      </c>
      <c r="Q20" s="1"/>
      <c r="R20" s="8">
        <f aca="true" t="shared" si="13" ref="R20:W20">((100%-R18)*R8)/((1-R14))</f>
        <v>0.1708585858585859</v>
      </c>
      <c r="S20" s="8">
        <f t="shared" si="13"/>
        <v>0.14834545454545459</v>
      </c>
      <c r="T20" s="8">
        <f t="shared" si="13"/>
        <v>0.1708585858585859</v>
      </c>
      <c r="U20" s="8">
        <f t="shared" si="13"/>
        <v>0.1708585858585859</v>
      </c>
      <c r="V20" s="8">
        <f t="shared" si="13"/>
        <v>0.1708585858585859</v>
      </c>
      <c r="W20" s="8">
        <f t="shared" si="13"/>
        <v>0.1708585858585859</v>
      </c>
    </row>
    <row r="21" spans="1:23" ht="12">
      <c r="A21" t="s">
        <v>29</v>
      </c>
      <c r="B21" t="s">
        <v>30</v>
      </c>
      <c r="C21" s="8">
        <f>((100%-C19)*C9)/(1-C14)</f>
        <v>0.35251463414634143</v>
      </c>
      <c r="E21" s="8">
        <f>((100%-E19)*E9)/(1-E14)</f>
        <v>0.3846262626262626</v>
      </c>
      <c r="F21" s="1"/>
      <c r="H21" s="8">
        <f>((100%-H19)*H9)/(1-H14)</f>
        <v>0.35251463414634143</v>
      </c>
      <c r="I21" s="8">
        <f>((100%-I19)*I9)/(1-I14)</f>
        <v>0.3846262626262626</v>
      </c>
      <c r="J21" s="1"/>
      <c r="K21" s="8">
        <f aca="true" t="shared" si="14" ref="K21:P21">((100%-K19)*K9)/(1-K14)</f>
        <v>0.35251463414634143</v>
      </c>
      <c r="L21" s="8">
        <f t="shared" si="14"/>
        <v>0.38012634146341456</v>
      </c>
      <c r="M21" s="8">
        <f t="shared" si="14"/>
        <v>0.35251463414634143</v>
      </c>
      <c r="N21" s="8">
        <f t="shared" si="14"/>
        <v>0.35251463414634143</v>
      </c>
      <c r="O21" s="8">
        <f t="shared" si="14"/>
        <v>0.35251463414634143</v>
      </c>
      <c r="P21" s="8">
        <f t="shared" si="14"/>
        <v>0.35251463414634143</v>
      </c>
      <c r="Q21" s="1"/>
      <c r="R21" s="8">
        <f aca="true" t="shared" si="15" ref="R21:W21">((100%-R19)*R9)/(1-R14)</f>
        <v>0.3846262626262626</v>
      </c>
      <c r="S21" s="8">
        <f t="shared" si="15"/>
        <v>0.4395272727272726</v>
      </c>
      <c r="T21" s="8">
        <f t="shared" si="15"/>
        <v>0.3846262626262626</v>
      </c>
      <c r="U21" s="8">
        <f t="shared" si="15"/>
        <v>0.3846262626262626</v>
      </c>
      <c r="V21" s="8">
        <f t="shared" si="15"/>
        <v>0.3846262626262626</v>
      </c>
      <c r="W21" s="8">
        <f t="shared" si="15"/>
        <v>0.3846262626262626</v>
      </c>
    </row>
    <row r="22" spans="6:17" ht="12">
      <c r="F22" s="1"/>
      <c r="J22" s="1"/>
      <c r="Q22" s="1"/>
    </row>
    <row r="23" spans="1:23" ht="12">
      <c r="A23" t="s">
        <v>31</v>
      </c>
      <c r="B23" t="s">
        <v>32</v>
      </c>
      <c r="C23" s="4">
        <f>10^6</f>
        <v>1000000</v>
      </c>
      <c r="E23" s="4">
        <f aca="true" t="shared" si="16" ref="E23:P23">10^6</f>
        <v>1000000</v>
      </c>
      <c r="F23" s="1"/>
      <c r="H23" s="4">
        <f>10^6</f>
        <v>1000000</v>
      </c>
      <c r="I23" s="4">
        <f t="shared" si="16"/>
        <v>1000000</v>
      </c>
      <c r="J23" s="1"/>
      <c r="K23" s="4">
        <f t="shared" si="16"/>
        <v>1000000</v>
      </c>
      <c r="L23" s="4">
        <f t="shared" si="16"/>
        <v>1000000</v>
      </c>
      <c r="M23" s="4">
        <f t="shared" si="16"/>
        <v>1000000</v>
      </c>
      <c r="N23" s="4">
        <f t="shared" si="16"/>
        <v>1000000</v>
      </c>
      <c r="O23" s="4">
        <f t="shared" si="16"/>
        <v>1000000</v>
      </c>
      <c r="P23" s="4">
        <f t="shared" si="16"/>
        <v>1000000</v>
      </c>
      <c r="Q23" s="1"/>
      <c r="R23" s="4">
        <f aca="true" t="shared" si="17" ref="R23:W23">10^6</f>
        <v>1000000</v>
      </c>
      <c r="S23" s="4">
        <f t="shared" si="17"/>
        <v>1000000</v>
      </c>
      <c r="T23" s="4">
        <f t="shared" si="17"/>
        <v>1000000</v>
      </c>
      <c r="U23" s="4">
        <f t="shared" si="17"/>
        <v>1000000</v>
      </c>
      <c r="V23" s="4">
        <f t="shared" si="17"/>
        <v>1000000</v>
      </c>
      <c r="W23" s="4">
        <f t="shared" si="17"/>
        <v>1000000</v>
      </c>
    </row>
    <row r="24" spans="1:23" ht="12">
      <c r="A24" t="s">
        <v>33</v>
      </c>
      <c r="B24" t="s">
        <v>34</v>
      </c>
      <c r="C24" s="11">
        <f>(C23/C3)*(1-C4)</f>
        <v>179245.28301886792</v>
      </c>
      <c r="E24" s="11">
        <f>(E23/E3)*(1-E4)</f>
        <v>126666.66666666667</v>
      </c>
      <c r="F24" s="1"/>
      <c r="H24" s="11">
        <f>(H23/H3)*(1-H4)</f>
        <v>212053.57142857145</v>
      </c>
      <c r="I24" s="11">
        <f>(I23/I3)*(1-I4)</f>
        <v>142215.56886227545</v>
      </c>
      <c r="J24" s="1"/>
      <c r="K24" s="11">
        <f aca="true" t="shared" si="18" ref="K24:P24">(K23/K3)*(1-K4)</f>
        <v>179245.28301886792</v>
      </c>
      <c r="L24" s="11">
        <f t="shared" si="18"/>
        <v>179245.28301886792</v>
      </c>
      <c r="M24" s="11">
        <f t="shared" si="18"/>
        <v>179245.28301886792</v>
      </c>
      <c r="N24" s="11">
        <f t="shared" si="18"/>
        <v>179245.28301886792</v>
      </c>
      <c r="O24" s="11">
        <f t="shared" si="18"/>
        <v>179245.28301886792</v>
      </c>
      <c r="P24" s="11">
        <f t="shared" si="18"/>
        <v>179245.28301886792</v>
      </c>
      <c r="Q24" s="1"/>
      <c r="R24" s="11">
        <f aca="true" t="shared" si="19" ref="R24:W24">(R23/R3)*(1-R4)</f>
        <v>126666.66666666667</v>
      </c>
      <c r="S24" s="11">
        <f t="shared" si="19"/>
        <v>126666.66666666667</v>
      </c>
      <c r="T24" s="11">
        <f t="shared" si="19"/>
        <v>126666.66666666667</v>
      </c>
      <c r="U24" s="11">
        <f t="shared" si="19"/>
        <v>126666.66666666667</v>
      </c>
      <c r="V24" s="11">
        <f t="shared" si="19"/>
        <v>126666.66666666667</v>
      </c>
      <c r="W24" s="11">
        <f t="shared" si="19"/>
        <v>126666.66666666667</v>
      </c>
    </row>
    <row r="25" spans="1:23" ht="12">
      <c r="A25" t="s">
        <v>35</v>
      </c>
      <c r="B25" t="s">
        <v>34</v>
      </c>
      <c r="C25" s="11">
        <f>C24*C5*C6</f>
        <v>716264.1509433964</v>
      </c>
      <c r="E25" s="11">
        <f>E24*E5*E6</f>
        <v>506160.00000000006</v>
      </c>
      <c r="F25" s="1"/>
      <c r="H25" s="11">
        <f>H24*H5*H6</f>
        <v>847366.0714285716</v>
      </c>
      <c r="I25" s="11">
        <f>I24*I5*I6</f>
        <v>568293.4131736528</v>
      </c>
      <c r="J25" s="1"/>
      <c r="K25" s="11">
        <f aca="true" t="shared" si="20" ref="K25:P25">K24*K5*K6</f>
        <v>716264.1509433964</v>
      </c>
      <c r="L25" s="11">
        <f t="shared" si="20"/>
        <v>716264.1509433964</v>
      </c>
      <c r="M25" s="11">
        <f t="shared" si="20"/>
        <v>716264.1509433964</v>
      </c>
      <c r="N25" s="11">
        <f t="shared" si="20"/>
        <v>716264.1509433964</v>
      </c>
      <c r="O25" s="11">
        <f t="shared" si="20"/>
        <v>322641.5094339623</v>
      </c>
      <c r="P25" s="11">
        <f t="shared" si="20"/>
        <v>967924.5283018869</v>
      </c>
      <c r="Q25" s="1"/>
      <c r="R25" s="11">
        <f aca="true" t="shared" si="21" ref="R25:W25">R24*R5*R6</f>
        <v>506160.00000000006</v>
      </c>
      <c r="S25" s="11">
        <f t="shared" si="21"/>
        <v>506160.00000000006</v>
      </c>
      <c r="T25" s="11">
        <f t="shared" si="21"/>
        <v>506160.00000000006</v>
      </c>
      <c r="U25" s="11">
        <f t="shared" si="21"/>
        <v>506160.00000000006</v>
      </c>
      <c r="V25" s="11">
        <f t="shared" si="21"/>
        <v>228000</v>
      </c>
      <c r="W25" s="11">
        <f t="shared" si="21"/>
        <v>684000</v>
      </c>
    </row>
    <row r="26" spans="1:23" ht="12">
      <c r="A26" t="s">
        <v>36</v>
      </c>
      <c r="B26" t="s">
        <v>34</v>
      </c>
      <c r="C26" s="9">
        <f>C25*C20</f>
        <v>109826.00515416477</v>
      </c>
      <c r="E26" s="9">
        <f>E25*E20</f>
        <v>86481.78181818186</v>
      </c>
      <c r="F26" s="12"/>
      <c r="H26" s="9">
        <f>H25*H20</f>
        <v>129928.08645470385</v>
      </c>
      <c r="I26" s="9">
        <f>I25*I20</f>
        <v>97097.8089275994</v>
      </c>
      <c r="J26" s="12"/>
      <c r="K26" s="9">
        <f aca="true" t="shared" si="22" ref="K26:P26">K25*K20</f>
        <v>109826.00515416477</v>
      </c>
      <c r="L26" s="9">
        <f t="shared" si="22"/>
        <v>99128.86210768526</v>
      </c>
      <c r="M26" s="9">
        <f t="shared" si="22"/>
        <v>109826.00515416477</v>
      </c>
      <c r="N26" s="9">
        <f t="shared" si="22"/>
        <v>109826.00515416477</v>
      </c>
      <c r="O26" s="9">
        <f t="shared" si="22"/>
        <v>49471.173492867005</v>
      </c>
      <c r="P26" s="9">
        <f t="shared" si="22"/>
        <v>148413.520478601</v>
      </c>
      <c r="Q26" s="12"/>
      <c r="R26" s="9">
        <f aca="true" t="shared" si="23" ref="R26:W26">R25*R20</f>
        <v>86481.78181818186</v>
      </c>
      <c r="S26" s="9">
        <f t="shared" si="23"/>
        <v>75086.5352727273</v>
      </c>
      <c r="T26" s="9">
        <f t="shared" si="23"/>
        <v>86481.78181818186</v>
      </c>
      <c r="U26" s="9">
        <f t="shared" si="23"/>
        <v>86481.78181818186</v>
      </c>
      <c r="V26" s="9">
        <f t="shared" si="23"/>
        <v>38955.75757575758</v>
      </c>
      <c r="W26" s="9">
        <f t="shared" si="23"/>
        <v>116867.27272727276</v>
      </c>
    </row>
    <row r="27" spans="1:23" ht="12">
      <c r="A27" t="s">
        <v>37</v>
      </c>
      <c r="B27" t="s">
        <v>34</v>
      </c>
      <c r="C27" s="9">
        <f>C25*C21</f>
        <v>252493.59512195125</v>
      </c>
      <c r="E27" s="9">
        <f>E25*E21</f>
        <v>194682.4290909091</v>
      </c>
      <c r="F27" s="12"/>
      <c r="H27" s="9">
        <f>H25*H21</f>
        <v>298708.94065766555</v>
      </c>
      <c r="I27" s="9">
        <f>I25*I21</f>
        <v>218580.57158410456</v>
      </c>
      <c r="J27" s="12"/>
      <c r="K27" s="9">
        <f aca="true" t="shared" si="24" ref="K27:P27">K25*K21</f>
        <v>252493.59512195125</v>
      </c>
      <c r="L27" s="9">
        <f t="shared" si="24"/>
        <v>272270.8712195122</v>
      </c>
      <c r="M27" s="9">
        <f t="shared" si="24"/>
        <v>252493.59512195125</v>
      </c>
      <c r="N27" s="9">
        <f t="shared" si="24"/>
        <v>252493.59512195125</v>
      </c>
      <c r="O27" s="9">
        <f t="shared" si="24"/>
        <v>113735.85365853658</v>
      </c>
      <c r="P27" s="9">
        <f t="shared" si="24"/>
        <v>341207.56097560975</v>
      </c>
      <c r="Q27" s="12"/>
      <c r="R27" s="9">
        <f aca="true" t="shared" si="25" ref="R27:W27">R25*R21</f>
        <v>194682.4290909091</v>
      </c>
      <c r="S27" s="9">
        <f t="shared" si="25"/>
        <v>222471.12436363634</v>
      </c>
      <c r="T27" s="9">
        <f t="shared" si="25"/>
        <v>194682.4290909091</v>
      </c>
      <c r="U27" s="9">
        <f t="shared" si="25"/>
        <v>194682.4290909091</v>
      </c>
      <c r="V27" s="9">
        <f t="shared" si="25"/>
        <v>87694.78787878787</v>
      </c>
      <c r="W27" s="9">
        <f t="shared" si="25"/>
        <v>263084.3636363636</v>
      </c>
    </row>
    <row r="28" spans="1:23" ht="12">
      <c r="A28" t="s">
        <v>38</v>
      </c>
      <c r="B28" t="s">
        <v>34</v>
      </c>
      <c r="C28" s="9">
        <f>C26*C12</f>
        <v>340.1091727614175</v>
      </c>
      <c r="E28" s="9">
        <f>E26*E12</f>
        <v>267.8167819345456</v>
      </c>
      <c r="F28" s="1"/>
      <c r="H28" s="9">
        <f>H26*H12</f>
        <v>402.3612981329269</v>
      </c>
      <c r="I28" s="9">
        <f>I26*I12</f>
        <v>300.69249468698985</v>
      </c>
      <c r="J28" s="1"/>
      <c r="K28" s="9">
        <f aca="true" t="shared" si="26" ref="K28:P28">K26*K12</f>
        <v>340.1091727614175</v>
      </c>
      <c r="L28" s="9">
        <f t="shared" si="26"/>
        <v>306.9822601750797</v>
      </c>
      <c r="M28" s="9">
        <f t="shared" si="26"/>
        <v>85.02729319035434</v>
      </c>
      <c r="N28" s="9">
        <f t="shared" si="26"/>
        <v>425.1364659517718</v>
      </c>
      <c r="O28" s="9">
        <f t="shared" si="26"/>
        <v>153.20233007271057</v>
      </c>
      <c r="P28" s="9">
        <f t="shared" si="26"/>
        <v>459.60699021813167</v>
      </c>
      <c r="Q28" s="1"/>
      <c r="R28" s="9">
        <f aca="true" t="shared" si="27" ref="R28:W28">R26*R12</f>
        <v>267.8167819345456</v>
      </c>
      <c r="S28" s="9">
        <f t="shared" si="27"/>
        <v>232.52798243258192</v>
      </c>
      <c r="T28" s="9">
        <f t="shared" si="27"/>
        <v>66.95419548363638</v>
      </c>
      <c r="U28" s="9">
        <f t="shared" si="27"/>
        <v>334.770977418182</v>
      </c>
      <c r="V28" s="9">
        <f t="shared" si="27"/>
        <v>120.63819006060609</v>
      </c>
      <c r="W28" s="9">
        <f t="shared" si="27"/>
        <v>361.9145701818183</v>
      </c>
    </row>
    <row r="29" spans="6:17" ht="12">
      <c r="F29" s="1"/>
      <c r="J29" s="1"/>
      <c r="Q29" s="1"/>
    </row>
    <row r="30" spans="1:23" ht="12">
      <c r="A30" t="s">
        <v>39</v>
      </c>
      <c r="C30" s="4">
        <f>C23/C25</f>
        <v>1.3961329750803433</v>
      </c>
      <c r="E30" s="4">
        <f>E23/E25</f>
        <v>1.9756598703967123</v>
      </c>
      <c r="F30" s="1"/>
      <c r="H30" s="4">
        <f>H23/H25</f>
        <v>1.1801274959169694</v>
      </c>
      <c r="I30" s="4">
        <f>I23/I25</f>
        <v>1.7596543912333382</v>
      </c>
      <c r="J30" s="1"/>
      <c r="K30" s="4">
        <f aca="true" t="shared" si="28" ref="K30:P30">K23/K25</f>
        <v>1.3961329750803433</v>
      </c>
      <c r="L30" s="4">
        <f t="shared" si="28"/>
        <v>1.3961329750803433</v>
      </c>
      <c r="M30" s="4">
        <f t="shared" si="28"/>
        <v>1.3961329750803433</v>
      </c>
      <c r="N30" s="4">
        <f t="shared" si="28"/>
        <v>1.3961329750803433</v>
      </c>
      <c r="O30" s="4">
        <f t="shared" si="28"/>
        <v>3.0994152046783623</v>
      </c>
      <c r="P30" s="4">
        <f t="shared" si="28"/>
        <v>1.033138401559454</v>
      </c>
      <c r="Q30" s="1"/>
      <c r="R30" s="4">
        <f aca="true" t="shared" si="29" ref="R30:W30">R23/R25</f>
        <v>1.9756598703967123</v>
      </c>
      <c r="S30" s="4">
        <f t="shared" si="29"/>
        <v>1.9756598703967123</v>
      </c>
      <c r="T30" s="4">
        <f t="shared" si="29"/>
        <v>1.9756598703967123</v>
      </c>
      <c r="U30" s="4">
        <f t="shared" si="29"/>
        <v>1.9756598703967123</v>
      </c>
      <c r="V30" s="4">
        <f t="shared" si="29"/>
        <v>4.385964912280702</v>
      </c>
      <c r="W30" s="4">
        <f t="shared" si="29"/>
        <v>1.4619883040935673</v>
      </c>
    </row>
    <row r="31" spans="1:23" ht="12">
      <c r="A31" t="s">
        <v>40</v>
      </c>
      <c r="C31" s="4">
        <f>C23/C26</f>
        <v>9.105311611728768</v>
      </c>
      <c r="E31" s="4">
        <f>E23/E26</f>
        <v>11.563129007938187</v>
      </c>
      <c r="F31" s="1"/>
      <c r="H31" s="4">
        <f>H23/H26</f>
        <v>7.696565286895261</v>
      </c>
      <c r="I31" s="4">
        <f>I23/I26</f>
        <v>10.298893569736945</v>
      </c>
      <c r="J31" s="1"/>
      <c r="K31" s="4">
        <f aca="true" t="shared" si="30" ref="K31:P31">K23/K26</f>
        <v>9.105311611728768</v>
      </c>
      <c r="L31" s="4">
        <f t="shared" si="30"/>
        <v>10.087879339457</v>
      </c>
      <c r="M31" s="4">
        <f t="shared" si="30"/>
        <v>9.105311611728768</v>
      </c>
      <c r="N31" s="4">
        <f t="shared" si="30"/>
        <v>9.105311611728768</v>
      </c>
      <c r="O31" s="4">
        <f t="shared" si="30"/>
        <v>20.21379177803787</v>
      </c>
      <c r="P31" s="4">
        <f t="shared" si="30"/>
        <v>6.737930592679289</v>
      </c>
      <c r="Q31" s="1"/>
      <c r="R31" s="4">
        <f aca="true" t="shared" si="31" ref="R31:W31">R23/R26</f>
        <v>11.563129007938187</v>
      </c>
      <c r="S31" s="4">
        <f t="shared" si="31"/>
        <v>13.317967014562955</v>
      </c>
      <c r="T31" s="4">
        <f t="shared" si="31"/>
        <v>11.563129007938187</v>
      </c>
      <c r="U31" s="4">
        <f t="shared" si="31"/>
        <v>11.563129007938187</v>
      </c>
      <c r="V31" s="4">
        <f t="shared" si="31"/>
        <v>25.670146397622783</v>
      </c>
      <c r="W31" s="4">
        <f t="shared" si="31"/>
        <v>8.55671546587426</v>
      </c>
    </row>
    <row r="32" spans="1:23" ht="12">
      <c r="A32" t="s">
        <v>41</v>
      </c>
      <c r="C32" s="4">
        <f>C23/SUM(C26:C27)</f>
        <v>2.7599942129487927</v>
      </c>
      <c r="E32" s="4">
        <f>E23/SUM(E26:E27)</f>
        <v>3.556640430041542</v>
      </c>
      <c r="F32" s="1"/>
      <c r="H32" s="4">
        <f>H23/SUM(H26:H27)</f>
        <v>2.332976240379357</v>
      </c>
      <c r="I32" s="4">
        <f>I23/SUM(I26:I27)</f>
        <v>3.1677810763569996</v>
      </c>
      <c r="J32" s="1"/>
      <c r="K32" s="4">
        <f aca="true" t="shared" si="32" ref="K32:P32">K23/SUM(K26:K27)</f>
        <v>2.7599942129487927</v>
      </c>
      <c r="L32" s="4">
        <f t="shared" si="32"/>
        <v>2.692516742113585</v>
      </c>
      <c r="M32" s="4">
        <f t="shared" si="32"/>
        <v>2.7599942129487927</v>
      </c>
      <c r="N32" s="4">
        <f t="shared" si="32"/>
        <v>2.7599942129487927</v>
      </c>
      <c r="O32" s="4">
        <f t="shared" si="32"/>
        <v>6.127187152746321</v>
      </c>
      <c r="P32" s="4">
        <f t="shared" si="32"/>
        <v>2.0423957175821066</v>
      </c>
      <c r="Q32" s="1"/>
      <c r="R32" s="4">
        <f aca="true" t="shared" si="33" ref="R32:W32">R23/SUM(R26:R27)</f>
        <v>3.556640430041542</v>
      </c>
      <c r="S32" s="4">
        <f t="shared" si="33"/>
        <v>3.360693188748931</v>
      </c>
      <c r="T32" s="4">
        <f t="shared" si="33"/>
        <v>3.556640430041542</v>
      </c>
      <c r="U32" s="4">
        <f t="shared" si="33"/>
        <v>3.556640430041542</v>
      </c>
      <c r="V32" s="4">
        <f t="shared" si="33"/>
        <v>7.8957417546922235</v>
      </c>
      <c r="W32" s="4">
        <f t="shared" si="33"/>
        <v>2.6319139182307416</v>
      </c>
    </row>
    <row r="33" spans="1:23" ht="12">
      <c r="A33" s="2" t="s">
        <v>42</v>
      </c>
      <c r="B33" t="s">
        <v>34</v>
      </c>
      <c r="C33" s="4">
        <f>C23/C28</f>
        <v>2940.2323726843088</v>
      </c>
      <c r="E33" s="4">
        <f>E23/E28</f>
        <v>3733.8959596803757</v>
      </c>
      <c r="F33" s="1"/>
      <c r="H33" s="4">
        <f>H23/H28</f>
        <v>2485.3284961557933</v>
      </c>
      <c r="I33" s="4">
        <f>I23/I28</f>
        <v>3325.656668088654</v>
      </c>
      <c r="J33" s="1"/>
      <c r="K33" s="4">
        <f aca="true" t="shared" si="34" ref="K33:P33">K23/K28</f>
        <v>2940.2323726843088</v>
      </c>
      <c r="L33" s="4">
        <f t="shared" si="34"/>
        <v>3257.5172240561224</v>
      </c>
      <c r="M33" s="4">
        <f>M23/M28</f>
        <v>11760.929490737239</v>
      </c>
      <c r="N33" s="4">
        <f t="shared" si="34"/>
        <v>2352.1858981474475</v>
      </c>
      <c r="O33" s="4">
        <f t="shared" si="34"/>
        <v>6527.315867359166</v>
      </c>
      <c r="P33" s="4">
        <f t="shared" si="34"/>
        <v>2175.771955786389</v>
      </c>
      <c r="Q33" s="1"/>
      <c r="R33" s="4">
        <f aca="true" t="shared" si="35" ref="R33:W33">R23/R28</f>
        <v>3733.8959596803757</v>
      </c>
      <c r="S33" s="4">
        <f t="shared" si="35"/>
        <v>4300.557677138644</v>
      </c>
      <c r="T33" s="4">
        <f t="shared" si="35"/>
        <v>14935.583838721506</v>
      </c>
      <c r="U33" s="4">
        <f t="shared" si="35"/>
        <v>2987.1167677443004</v>
      </c>
      <c r="V33" s="4">
        <f t="shared" si="35"/>
        <v>8289.249030490437</v>
      </c>
      <c r="W33" s="4">
        <f t="shared" si="35"/>
        <v>2763.0830101634783</v>
      </c>
    </row>
    <row r="34" spans="3:23" ht="12">
      <c r="C34" s="4"/>
      <c r="E34" s="4"/>
      <c r="F34" s="1"/>
      <c r="H34" s="4"/>
      <c r="I34" s="4"/>
      <c r="J34" s="1"/>
      <c r="K34" s="4"/>
      <c r="L34" s="4"/>
      <c r="M34" s="4"/>
      <c r="N34" s="4"/>
      <c r="O34" s="4"/>
      <c r="P34" s="4"/>
      <c r="Q34" s="1"/>
      <c r="R34" s="4"/>
      <c r="S34" s="4"/>
      <c r="T34" s="4"/>
      <c r="U34" s="4"/>
      <c r="V34" s="4"/>
      <c r="W34" s="4"/>
    </row>
    <row r="35" spans="1:23" ht="12">
      <c r="A35" s="13" t="s">
        <v>43</v>
      </c>
      <c r="B35" t="s">
        <v>148</v>
      </c>
      <c r="C35" s="4"/>
      <c r="E35" s="4"/>
      <c r="F35" s="1"/>
      <c r="H35" s="4"/>
      <c r="I35" s="4"/>
      <c r="J35" s="1"/>
      <c r="K35" s="4"/>
      <c r="L35" s="4"/>
      <c r="M35" s="4"/>
      <c r="N35" s="4"/>
      <c r="O35" s="4"/>
      <c r="P35" s="4"/>
      <c r="Q35" s="1"/>
      <c r="R35" s="4"/>
      <c r="S35" s="4"/>
      <c r="T35" s="4"/>
      <c r="U35" s="4"/>
      <c r="V35" s="4"/>
      <c r="W35" s="4"/>
    </row>
    <row r="36" spans="1:23" ht="12">
      <c r="A36" s="2" t="s">
        <v>44</v>
      </c>
      <c r="B36" s="9">
        <f>AVERAGE(75.38,77.95)</f>
        <v>76.66499999999999</v>
      </c>
      <c r="C36" s="4">
        <f>C$33/$B36</f>
        <v>38.35169076742071</v>
      </c>
      <c r="D36" s="9"/>
      <c r="E36" s="4">
        <f aca="true" t="shared" si="36" ref="E36:W38">E$33/$B36</f>
        <v>48.70404956212582</v>
      </c>
      <c r="F36" s="1"/>
      <c r="G36" s="9"/>
      <c r="H36" s="4">
        <f>H$33/$B36</f>
        <v>32.41803295057449</v>
      </c>
      <c r="I36" s="4">
        <f t="shared" si="36"/>
        <v>43.379073476666726</v>
      </c>
      <c r="J36" s="1"/>
      <c r="K36" s="4">
        <f t="shared" si="36"/>
        <v>38.35169076742071</v>
      </c>
      <c r="L36" s="4">
        <f t="shared" si="36"/>
        <v>42.49027879809721</v>
      </c>
      <c r="M36" s="4">
        <f t="shared" si="36"/>
        <v>153.4067630696829</v>
      </c>
      <c r="N36" s="4">
        <f t="shared" si="36"/>
        <v>30.68135261393658</v>
      </c>
      <c r="O36" s="4">
        <f t="shared" si="36"/>
        <v>85.14075350367399</v>
      </c>
      <c r="P36" s="4">
        <f t="shared" si="36"/>
        <v>28.380251167891334</v>
      </c>
      <c r="Q36" s="1"/>
      <c r="R36" s="4">
        <f t="shared" si="36"/>
        <v>48.70404956212582</v>
      </c>
      <c r="S36" s="4">
        <f t="shared" si="36"/>
        <v>56.09545003767879</v>
      </c>
      <c r="T36" s="4">
        <f t="shared" si="36"/>
        <v>194.81619824850333</v>
      </c>
      <c r="U36" s="4">
        <f t="shared" si="36"/>
        <v>38.963239649700654</v>
      </c>
      <c r="V36" s="4">
        <f t="shared" si="36"/>
        <v>108.12299002791936</v>
      </c>
      <c r="W36" s="4">
        <f t="shared" si="36"/>
        <v>36.04099667597311</v>
      </c>
    </row>
    <row r="37" spans="1:23" ht="12">
      <c r="A37" s="2" t="s">
        <v>45</v>
      </c>
      <c r="B37" s="9">
        <f>AVERAGE(29.86,30.12)</f>
        <v>29.990000000000002</v>
      </c>
      <c r="C37" s="4">
        <f>C$33/$B37</f>
        <v>98.04042589810966</v>
      </c>
      <c r="D37" s="9"/>
      <c r="E37" s="4">
        <f t="shared" si="36"/>
        <v>124.50470022275343</v>
      </c>
      <c r="F37" s="1"/>
      <c r="G37" s="9"/>
      <c r="H37" s="4">
        <f>H$33/$B37</f>
        <v>82.87190717425119</v>
      </c>
      <c r="I37" s="4">
        <f t="shared" si="36"/>
        <v>110.89218633173238</v>
      </c>
      <c r="J37" s="1"/>
      <c r="K37" s="4">
        <f t="shared" si="36"/>
        <v>98.04042589810966</v>
      </c>
      <c r="L37" s="4">
        <f t="shared" si="36"/>
        <v>108.62011417326183</v>
      </c>
      <c r="M37" s="4">
        <f t="shared" si="36"/>
        <v>392.16170359243876</v>
      </c>
      <c r="N37" s="4">
        <f t="shared" si="36"/>
        <v>78.43234071848774</v>
      </c>
      <c r="O37" s="4">
        <f t="shared" si="36"/>
        <v>217.64974549380347</v>
      </c>
      <c r="P37" s="4">
        <f t="shared" si="36"/>
        <v>72.54991516460116</v>
      </c>
      <c r="Q37" s="1"/>
      <c r="R37" s="4">
        <f t="shared" si="36"/>
        <v>124.50470022275343</v>
      </c>
      <c r="S37" s="4">
        <f t="shared" si="36"/>
        <v>143.39972247878106</v>
      </c>
      <c r="T37" s="4">
        <f t="shared" si="36"/>
        <v>498.0188008910138</v>
      </c>
      <c r="U37" s="4">
        <f t="shared" si="36"/>
        <v>99.60376017820275</v>
      </c>
      <c r="V37" s="4">
        <f t="shared" si="36"/>
        <v>276.4004344945127</v>
      </c>
      <c r="W37" s="4">
        <f t="shared" si="36"/>
        <v>92.13347816483756</v>
      </c>
    </row>
    <row r="38" spans="1:23" ht="12">
      <c r="A38" s="2" t="s">
        <v>46</v>
      </c>
      <c r="B38" s="9">
        <f>AVERAGE(36.46,36.59)</f>
        <v>36.525000000000006</v>
      </c>
      <c r="C38" s="4">
        <f>C$33/$B38</f>
        <v>80.4991751590502</v>
      </c>
      <c r="D38" s="9"/>
      <c r="E38" s="4">
        <f t="shared" si="36"/>
        <v>102.22849992280288</v>
      </c>
      <c r="F38" s="1"/>
      <c r="G38" s="9"/>
      <c r="H38" s="4">
        <f>H$33/$B38</f>
        <v>68.0445857948198</v>
      </c>
      <c r="I38" s="4">
        <f t="shared" si="36"/>
        <v>91.05151726457642</v>
      </c>
      <c r="J38" s="1"/>
      <c r="K38" s="4">
        <f t="shared" si="36"/>
        <v>80.4991751590502</v>
      </c>
      <c r="L38" s="4">
        <f t="shared" si="36"/>
        <v>89.18596095978431</v>
      </c>
      <c r="M38" s="4">
        <f t="shared" si="36"/>
        <v>321.9967006362009</v>
      </c>
      <c r="N38" s="4">
        <f t="shared" si="36"/>
        <v>64.39934012724017</v>
      </c>
      <c r="O38" s="4">
        <f t="shared" si="36"/>
        <v>178.70816885309145</v>
      </c>
      <c r="P38" s="4">
        <f t="shared" si="36"/>
        <v>59.569389617697155</v>
      </c>
      <c r="Q38" s="1"/>
      <c r="R38" s="4">
        <f t="shared" si="36"/>
        <v>102.22849992280288</v>
      </c>
      <c r="S38" s="4">
        <f t="shared" si="36"/>
        <v>117.74285221461037</v>
      </c>
      <c r="T38" s="4">
        <f t="shared" si="36"/>
        <v>408.9139996912116</v>
      </c>
      <c r="U38" s="4">
        <f t="shared" si="36"/>
        <v>81.7827999382423</v>
      </c>
      <c r="V38" s="4">
        <f t="shared" si="36"/>
        <v>226.94726982862247</v>
      </c>
      <c r="W38" s="4">
        <f t="shared" si="36"/>
        <v>75.64908994287414</v>
      </c>
    </row>
    <row r="39" spans="3:23" ht="12">
      <c r="C39" s="4"/>
      <c r="E39" s="4"/>
      <c r="F39" s="1"/>
      <c r="H39" s="4"/>
      <c r="I39" s="4"/>
      <c r="J39" s="1"/>
      <c r="K39" s="4"/>
      <c r="L39" s="4"/>
      <c r="M39" s="4"/>
      <c r="N39" s="4"/>
      <c r="O39" s="4"/>
      <c r="P39" s="4"/>
      <c r="Q39" s="1"/>
      <c r="R39" s="4"/>
      <c r="S39" s="4"/>
      <c r="T39" s="4"/>
      <c r="U39" s="4"/>
      <c r="V39" s="4"/>
      <c r="W39" s="4"/>
    </row>
    <row r="40" spans="1:17" ht="12">
      <c r="A40" s="13" t="s">
        <v>47</v>
      </c>
      <c r="F40" s="1"/>
      <c r="J40" s="1"/>
      <c r="Q40" s="1"/>
    </row>
    <row r="41" spans="1:17" ht="12">
      <c r="A41" t="s">
        <v>138</v>
      </c>
      <c r="B41" t="s">
        <v>139</v>
      </c>
      <c r="C41" s="23">
        <f>C32*2</f>
        <v>5.519988425897585</v>
      </c>
      <c r="D41" s="23"/>
      <c r="E41" s="23">
        <f>E32*2</f>
        <v>7.113280860083084</v>
      </c>
      <c r="F41" s="1"/>
      <c r="H41" s="23">
        <f>H32*2</f>
        <v>4.665952480758714</v>
      </c>
      <c r="I41" s="23">
        <f>I32*2</f>
        <v>6.335562152713999</v>
      </c>
      <c r="J41" s="1"/>
      <c r="Q41" s="1"/>
    </row>
    <row r="42" spans="1:23" ht="12">
      <c r="A42" t="s">
        <v>48</v>
      </c>
      <c r="B42" t="s">
        <v>134</v>
      </c>
      <c r="C42" s="11">
        <f>(C33/C41)*(1/0.8)*(1-C7)</f>
        <v>532.6519089949375</v>
      </c>
      <c r="E42" s="11">
        <f>(E33/E41)*(1/0.8)*(1-E7)</f>
        <v>524.9189555600879</v>
      </c>
      <c r="F42" s="1"/>
      <c r="H42" s="11">
        <f>(H33/H41)*(1/0.8)*(1-H7)</f>
        <v>532.6519089949376</v>
      </c>
      <c r="I42" s="11">
        <f>(I33/I41)*(1/0.8)*(1-I7)</f>
        <v>524.9189555600879</v>
      </c>
      <c r="J42" s="1"/>
      <c r="K42" s="11">
        <f>(K33/K32)*(1/0.8)*(1-K7)</f>
        <v>1065.303817989875</v>
      </c>
      <c r="L42" s="11">
        <f aca="true" t="shared" si="37" ref="L42:W42">(L33/L32)*(1/0.8)*(1-L7)</f>
        <v>1209.8410283231963</v>
      </c>
      <c r="M42" s="11">
        <f t="shared" si="37"/>
        <v>1065.3038179898751</v>
      </c>
      <c r="N42" s="11">
        <f t="shared" si="37"/>
        <v>1065.3038179898751</v>
      </c>
      <c r="O42" s="11">
        <f t="shared" si="37"/>
        <v>1065.303817989875</v>
      </c>
      <c r="P42" s="11">
        <f t="shared" si="37"/>
        <v>1065.3038179898751</v>
      </c>
      <c r="Q42" s="1"/>
      <c r="R42" s="11">
        <f t="shared" si="37"/>
        <v>1049.8379111201757</v>
      </c>
      <c r="S42" s="11">
        <f t="shared" si="37"/>
        <v>1279.6638775405715</v>
      </c>
      <c r="T42" s="11">
        <f t="shared" si="37"/>
        <v>1049.8379111201757</v>
      </c>
      <c r="U42" s="11">
        <f t="shared" si="37"/>
        <v>1049.8379111201755</v>
      </c>
      <c r="V42" s="11">
        <f t="shared" si="37"/>
        <v>1049.837911120176</v>
      </c>
      <c r="W42" s="11">
        <f t="shared" si="37"/>
        <v>1049.8379111201755</v>
      </c>
    </row>
    <row r="43" spans="1:23" ht="12">
      <c r="A43" t="s">
        <v>49</v>
      </c>
      <c r="B43" t="s">
        <v>50</v>
      </c>
      <c r="C43" s="9">
        <f>C42/10</f>
        <v>53.265190899493746</v>
      </c>
      <c r="E43" s="9">
        <f>E42/10</f>
        <v>52.491895556008785</v>
      </c>
      <c r="F43" s="1"/>
      <c r="H43" s="9">
        <f>H42/10</f>
        <v>53.26519089949376</v>
      </c>
      <c r="I43" s="9">
        <f>I42/10</f>
        <v>52.491895556008785</v>
      </c>
      <c r="J43" s="1"/>
      <c r="K43" s="9">
        <f aca="true" t="shared" si="38" ref="K43:P43">K42/10</f>
        <v>106.53038179898749</v>
      </c>
      <c r="L43" s="9">
        <f t="shared" si="38"/>
        <v>120.98410283231962</v>
      </c>
      <c r="M43" s="9">
        <f>M42/10</f>
        <v>106.53038179898752</v>
      </c>
      <c r="N43" s="9">
        <f t="shared" si="38"/>
        <v>106.53038179898752</v>
      </c>
      <c r="O43" s="9">
        <f t="shared" si="38"/>
        <v>106.53038179898749</v>
      </c>
      <c r="P43" s="9">
        <f t="shared" si="38"/>
        <v>106.53038179898752</v>
      </c>
      <c r="Q43" s="1"/>
      <c r="R43" s="9">
        <f aca="true" t="shared" si="39" ref="R43:W43">R42/10</f>
        <v>104.98379111201757</v>
      </c>
      <c r="S43" s="9">
        <f t="shared" si="39"/>
        <v>127.96638775405715</v>
      </c>
      <c r="T43" s="9">
        <f t="shared" si="39"/>
        <v>104.98379111201757</v>
      </c>
      <c r="U43" s="9">
        <f t="shared" si="39"/>
        <v>104.98379111201754</v>
      </c>
      <c r="V43" s="9">
        <f t="shared" si="39"/>
        <v>104.9837911120176</v>
      </c>
      <c r="W43" s="9">
        <f t="shared" si="39"/>
        <v>104.98379111201754</v>
      </c>
    </row>
    <row r="44" spans="1:23" ht="12">
      <c r="A44" t="s">
        <v>51</v>
      </c>
      <c r="B44" s="3" t="s">
        <v>137</v>
      </c>
      <c r="C44">
        <v>1.23</v>
      </c>
      <c r="D44" s="3"/>
      <c r="E44">
        <v>1.23</v>
      </c>
      <c r="F44" s="1"/>
      <c r="G44" s="3"/>
      <c r="H44">
        <v>1.23</v>
      </c>
      <c r="I44">
        <v>1.23</v>
      </c>
      <c r="J44" s="1"/>
      <c r="K44">
        <v>0.66</v>
      </c>
      <c r="L44">
        <v>0.66</v>
      </c>
      <c r="M44">
        <v>0.66</v>
      </c>
      <c r="N44">
        <v>0.66</v>
      </c>
      <c r="O44">
        <v>0.66</v>
      </c>
      <c r="P44">
        <v>0.66</v>
      </c>
      <c r="Q44" s="1"/>
      <c r="R44">
        <v>0.66</v>
      </c>
      <c r="S44">
        <v>0.66</v>
      </c>
      <c r="T44">
        <v>0.66</v>
      </c>
      <c r="U44">
        <v>0.66</v>
      </c>
      <c r="V44">
        <v>0.66</v>
      </c>
      <c r="W44">
        <v>0.66</v>
      </c>
    </row>
    <row r="45" spans="1:23" ht="12">
      <c r="A45" t="s">
        <v>52</v>
      </c>
      <c r="B45" t="s">
        <v>53</v>
      </c>
      <c r="C45" s="11">
        <f>C33/(10*C44)</f>
        <v>239.0432823320576</v>
      </c>
      <c r="E45" s="11">
        <f>E33/(10*E44)</f>
        <v>303.5687772097866</v>
      </c>
      <c r="F45" s="1"/>
      <c r="H45" s="11">
        <f>H33/(10*H44)</f>
        <v>202.0592273297393</v>
      </c>
      <c r="I45" s="11">
        <f>I33/(10*I44)</f>
        <v>270.3785909015166</v>
      </c>
      <c r="J45" s="1"/>
      <c r="K45" s="11">
        <f aca="true" t="shared" si="40" ref="K45:P45">K33/(10*K44)</f>
        <v>445.4897534370164</v>
      </c>
      <c r="L45" s="11">
        <f t="shared" si="40"/>
        <v>493.5632157660791</v>
      </c>
      <c r="M45" s="11">
        <f t="shared" si="40"/>
        <v>1781.9590137480664</v>
      </c>
      <c r="N45" s="11">
        <f t="shared" si="40"/>
        <v>356.39180274961325</v>
      </c>
      <c r="O45" s="11">
        <f t="shared" si="40"/>
        <v>988.9872526301766</v>
      </c>
      <c r="P45" s="11">
        <f t="shared" si="40"/>
        <v>329.6624175433922</v>
      </c>
      <c r="Q45" s="1"/>
      <c r="R45" s="11">
        <f aca="true" t="shared" si="41" ref="R45:W45">R33/(10*R44)</f>
        <v>565.7418120727841</v>
      </c>
      <c r="S45" s="11">
        <f t="shared" si="41"/>
        <v>651.5996480513096</v>
      </c>
      <c r="T45" s="11">
        <f t="shared" si="41"/>
        <v>2262.967248291137</v>
      </c>
      <c r="U45" s="11">
        <f t="shared" si="41"/>
        <v>452.5934496582273</v>
      </c>
      <c r="V45" s="11">
        <f t="shared" si="41"/>
        <v>1255.9468228015812</v>
      </c>
      <c r="W45" s="11">
        <f t="shared" si="41"/>
        <v>418.64894093386033</v>
      </c>
    </row>
    <row r="46" spans="1:23" ht="12">
      <c r="A46" t="s">
        <v>54</v>
      </c>
      <c r="B46" t="s">
        <v>55</v>
      </c>
      <c r="C46" s="11">
        <f>C45-C43</f>
        <v>185.77809143256385</v>
      </c>
      <c r="E46" s="11">
        <f>E45-E43</f>
        <v>251.07688165377783</v>
      </c>
      <c r="F46" s="1"/>
      <c r="H46" s="11">
        <f>H45-H43</f>
        <v>148.7940364302455</v>
      </c>
      <c r="I46" s="11">
        <f>I45-I43</f>
        <v>217.8866953455078</v>
      </c>
      <c r="J46" s="1"/>
      <c r="K46" s="11">
        <f aca="true" t="shared" si="42" ref="K46:P46">K45-K43</f>
        <v>338.9593716380289</v>
      </c>
      <c r="L46" s="11">
        <f t="shared" si="42"/>
        <v>372.57911293375946</v>
      </c>
      <c r="M46" s="11">
        <f t="shared" si="42"/>
        <v>1675.4286319490789</v>
      </c>
      <c r="N46" s="11">
        <f t="shared" si="42"/>
        <v>249.86142095062573</v>
      </c>
      <c r="O46" s="11">
        <f t="shared" si="42"/>
        <v>882.4568708311891</v>
      </c>
      <c r="P46" s="11">
        <f t="shared" si="42"/>
        <v>223.1320357444047</v>
      </c>
      <c r="Q46" s="1"/>
      <c r="R46" s="11">
        <f aca="true" t="shared" si="43" ref="R46:W46">R45-R43</f>
        <v>460.75802096076654</v>
      </c>
      <c r="S46" s="11">
        <f t="shared" si="43"/>
        <v>523.6332602972525</v>
      </c>
      <c r="T46" s="11">
        <f t="shared" si="43"/>
        <v>2157.9834571791193</v>
      </c>
      <c r="U46" s="11">
        <f t="shared" si="43"/>
        <v>347.60965854620974</v>
      </c>
      <c r="V46" s="11">
        <f t="shared" si="43"/>
        <v>1150.9630316895636</v>
      </c>
      <c r="W46" s="11">
        <f t="shared" si="43"/>
        <v>313.66514982184276</v>
      </c>
    </row>
    <row r="47" spans="3:18" ht="12">
      <c r="C47" s="11"/>
      <c r="E47" s="11"/>
      <c r="F47" s="1"/>
      <c r="H47" s="11"/>
      <c r="I47" s="11"/>
      <c r="J47" s="1"/>
      <c r="K47" s="11"/>
      <c r="Q47" s="1"/>
      <c r="R47" s="11"/>
    </row>
    <row r="48" spans="1:23" ht="12">
      <c r="A48" t="s">
        <v>56</v>
      </c>
      <c r="B48" t="s">
        <v>57</v>
      </c>
      <c r="C48" s="11">
        <f>C45/C43</f>
        <v>4.487795468209419</v>
      </c>
      <c r="E48" s="11">
        <f>E45/E43</f>
        <v>5.783155170799255</v>
      </c>
      <c r="F48" s="1"/>
      <c r="H48" s="11">
        <f>H45/H43</f>
        <v>3.793457301429848</v>
      </c>
      <c r="I48" s="11">
        <f>I45/I43</f>
        <v>5.150863538791869</v>
      </c>
      <c r="J48" s="1"/>
      <c r="K48" s="11">
        <f aca="true" t="shared" si="44" ref="K48:P48">K45/K43</f>
        <v>4.181809413558776</v>
      </c>
      <c r="L48" s="11">
        <f t="shared" si="44"/>
        <v>4.079570821384221</v>
      </c>
      <c r="M48" s="11">
        <f t="shared" si="44"/>
        <v>16.727237654235108</v>
      </c>
      <c r="N48" s="11">
        <f t="shared" si="44"/>
        <v>3.345447530847021</v>
      </c>
      <c r="O48" s="11">
        <f t="shared" si="44"/>
        <v>9.283616898100485</v>
      </c>
      <c r="P48" s="11">
        <f t="shared" si="44"/>
        <v>3.0945389660334945</v>
      </c>
      <c r="Q48" s="1"/>
      <c r="R48" s="11">
        <f aca="true" t="shared" si="45" ref="R48:W48">R45/R43</f>
        <v>5.388849136426578</v>
      </c>
      <c r="S48" s="11">
        <f t="shared" si="45"/>
        <v>5.091959376892318</v>
      </c>
      <c r="T48" s="11">
        <f t="shared" si="45"/>
        <v>21.555396545706316</v>
      </c>
      <c r="U48" s="11">
        <f t="shared" si="45"/>
        <v>4.311079309141264</v>
      </c>
      <c r="V48" s="11">
        <f t="shared" si="45"/>
        <v>11.963245082867004</v>
      </c>
      <c r="W48" s="11">
        <f t="shared" si="45"/>
        <v>3.9877483609556696</v>
      </c>
    </row>
    <row r="51" ht="12">
      <c r="B51" s="14" t="s">
        <v>146</v>
      </c>
    </row>
    <row r="52" spans="2:8" ht="12">
      <c r="B52" t="s">
        <v>141</v>
      </c>
      <c r="C52" s="4">
        <f>AVERAGE(C33,E33)</f>
        <v>3337.064166182342</v>
      </c>
      <c r="H52" s="4">
        <f>AVERAGE(H33,I33)</f>
        <v>2905.4925821222237</v>
      </c>
    </row>
    <row r="53" spans="2:8" ht="12">
      <c r="B53" t="s">
        <v>140</v>
      </c>
      <c r="C53" s="23">
        <f>AVERAGE(C41,E41)</f>
        <v>6.316634642990335</v>
      </c>
      <c r="H53" s="23">
        <f>AVERAGE(H41,I41)</f>
        <v>5.500757316736356</v>
      </c>
    </row>
  </sheetData>
  <sheetProtection selectLockedCells="1" selectUnlockedCells="1"/>
  <hyperlinks>
    <hyperlink ref="B3" r:id="rId1" display="http://www.givewell.org/node/1798#Whatdoyougetforyourdollar"/>
    <hyperlink ref="B11" r:id="rId2" display="See penultimate section of http://blog.givewell.org/2012/10/18/revisiting-the-case-for-insecticide-treated-nets-itns/"/>
  </hyperlink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16"/>
  <sheetViews>
    <sheetView workbookViewId="0" topLeftCell="A1">
      <selection activeCell="A1" sqref="A1"/>
    </sheetView>
  </sheetViews>
  <sheetFormatPr defaultColWidth="11.57421875" defaultRowHeight="12.75"/>
  <cols>
    <col min="1" max="11" width="11.421875" style="0" customWidth="1"/>
    <col min="12" max="12" width="19.00390625" style="16" bestFit="1" customWidth="1"/>
    <col min="13" max="16384" width="11.421875" style="0" customWidth="1"/>
  </cols>
  <sheetData>
    <row r="1" spans="2:13" ht="12">
      <c r="B1" t="s">
        <v>62</v>
      </c>
      <c r="F1" t="s">
        <v>63</v>
      </c>
      <c r="J1" t="s">
        <v>65</v>
      </c>
      <c r="L1" t="s">
        <v>82</v>
      </c>
      <c r="M1" t="s">
        <v>83</v>
      </c>
    </row>
    <row r="2" spans="1:12" ht="12">
      <c r="A2" t="s">
        <v>58</v>
      </c>
      <c r="B2" t="s">
        <v>61</v>
      </c>
      <c r="C2" t="s">
        <v>64</v>
      </c>
      <c r="D2" t="s">
        <v>68</v>
      </c>
      <c r="E2" t="s">
        <v>69</v>
      </c>
      <c r="F2" t="s">
        <v>61</v>
      </c>
      <c r="G2" t="s">
        <v>64</v>
      </c>
      <c r="H2" t="s">
        <v>68</v>
      </c>
      <c r="I2" t="s">
        <v>69</v>
      </c>
      <c r="J2" s="14" t="s">
        <v>131</v>
      </c>
      <c r="L2"/>
    </row>
    <row r="3" spans="1:13" ht="12">
      <c r="A3" t="s">
        <v>60</v>
      </c>
      <c r="B3" s="8">
        <f>1-0.83</f>
        <v>0.17000000000000004</v>
      </c>
      <c r="C3">
        <v>4</v>
      </c>
      <c r="D3" t="s">
        <v>70</v>
      </c>
      <c r="F3" s="8">
        <f>1-0.77</f>
        <v>0.22999999999999998</v>
      </c>
      <c r="G3">
        <v>1</v>
      </c>
      <c r="H3" s="15" t="s">
        <v>71</v>
      </c>
      <c r="J3" t="s">
        <v>66</v>
      </c>
      <c r="L3" s="16">
        <f>F3/B3</f>
        <v>1.3529411764705879</v>
      </c>
      <c r="M3">
        <f>G3+C3</f>
        <v>5</v>
      </c>
    </row>
    <row r="4" spans="1:13" ht="12">
      <c r="A4" t="s">
        <v>59</v>
      </c>
      <c r="B4" s="8">
        <v>0.5</v>
      </c>
      <c r="C4">
        <v>5</v>
      </c>
      <c r="D4" t="s">
        <v>73</v>
      </c>
      <c r="E4" t="s">
        <v>72</v>
      </c>
      <c r="F4" s="8">
        <v>0.39</v>
      </c>
      <c r="G4">
        <v>3</v>
      </c>
      <c r="H4" t="s">
        <v>73</v>
      </c>
      <c r="I4" t="s">
        <v>72</v>
      </c>
      <c r="J4" t="s">
        <v>67</v>
      </c>
      <c r="L4" s="16">
        <f aca="true" t="shared" si="0" ref="L4:L10">F4/B4</f>
        <v>0.78</v>
      </c>
      <c r="M4">
        <f aca="true" t="shared" si="1" ref="M4:M10">G4+C4</f>
        <v>8</v>
      </c>
    </row>
    <row r="5" spans="1:13" ht="12">
      <c r="A5" t="s">
        <v>59</v>
      </c>
      <c r="B5" s="8">
        <v>0.62</v>
      </c>
      <c r="C5">
        <v>1</v>
      </c>
      <c r="D5" t="s">
        <v>74</v>
      </c>
      <c r="E5" t="s">
        <v>72</v>
      </c>
      <c r="F5" s="8">
        <v>0.39</v>
      </c>
      <c r="G5">
        <v>4</v>
      </c>
      <c r="H5" t="s">
        <v>74</v>
      </c>
      <c r="I5" t="s">
        <v>72</v>
      </c>
      <c r="J5" t="s">
        <v>67</v>
      </c>
      <c r="L5" s="16">
        <f t="shared" si="0"/>
        <v>0.6290322580645161</v>
      </c>
      <c r="M5">
        <f t="shared" si="1"/>
        <v>5</v>
      </c>
    </row>
    <row r="6" spans="1:13" ht="12">
      <c r="A6" t="s">
        <v>59</v>
      </c>
      <c r="B6" s="8">
        <v>0.52</v>
      </c>
      <c r="C6">
        <v>2</v>
      </c>
      <c r="D6" t="s">
        <v>74</v>
      </c>
      <c r="E6" t="s">
        <v>75</v>
      </c>
      <c r="F6" s="8">
        <v>0.11</v>
      </c>
      <c r="G6">
        <v>5</v>
      </c>
      <c r="H6" t="s">
        <v>74</v>
      </c>
      <c r="I6" t="s">
        <v>75</v>
      </c>
      <c r="J6" t="s">
        <v>67</v>
      </c>
      <c r="L6" s="16">
        <f t="shared" si="0"/>
        <v>0.21153846153846154</v>
      </c>
      <c r="M6">
        <f t="shared" si="1"/>
        <v>7</v>
      </c>
    </row>
    <row r="7" spans="1:13" ht="12">
      <c r="A7" t="s">
        <v>76</v>
      </c>
      <c r="B7" s="8">
        <v>0.13</v>
      </c>
      <c r="C7">
        <v>7</v>
      </c>
      <c r="D7" t="s">
        <v>73</v>
      </c>
      <c r="E7" t="s">
        <v>72</v>
      </c>
      <c r="F7" s="8">
        <v>0.1</v>
      </c>
      <c r="G7">
        <v>3</v>
      </c>
      <c r="H7" t="s">
        <v>73</v>
      </c>
      <c r="I7" t="s">
        <v>72</v>
      </c>
      <c r="J7" t="s">
        <v>77</v>
      </c>
      <c r="L7" s="16">
        <f t="shared" si="0"/>
        <v>0.7692307692307693</v>
      </c>
      <c r="M7">
        <f t="shared" si="1"/>
        <v>10</v>
      </c>
    </row>
    <row r="8" spans="1:13" ht="12">
      <c r="A8" t="s">
        <v>76</v>
      </c>
      <c r="B8" s="8">
        <v>0.42</v>
      </c>
      <c r="C8">
        <v>1</v>
      </c>
      <c r="D8" t="s">
        <v>74</v>
      </c>
      <c r="E8" t="s">
        <v>72</v>
      </c>
      <c r="F8" s="8">
        <v>-0.08</v>
      </c>
      <c r="G8">
        <v>1</v>
      </c>
      <c r="H8" t="s">
        <v>74</v>
      </c>
      <c r="I8" t="s">
        <v>72</v>
      </c>
      <c r="J8" t="s">
        <v>77</v>
      </c>
      <c r="L8" s="16">
        <f t="shared" si="0"/>
        <v>-0.1904761904761905</v>
      </c>
      <c r="M8" t="s">
        <v>84</v>
      </c>
    </row>
    <row r="9" spans="1:13" ht="12">
      <c r="A9" t="s">
        <v>76</v>
      </c>
      <c r="B9" s="8">
        <v>-0.1</v>
      </c>
      <c r="C9">
        <v>1</v>
      </c>
      <c r="D9" t="s">
        <v>74</v>
      </c>
      <c r="E9" t="s">
        <v>75</v>
      </c>
      <c r="F9" s="8">
        <v>0.32</v>
      </c>
      <c r="G9">
        <v>1</v>
      </c>
      <c r="H9" t="s">
        <v>74</v>
      </c>
      <c r="I9" t="s">
        <v>75</v>
      </c>
      <c r="J9" t="s">
        <v>77</v>
      </c>
      <c r="L9" s="16">
        <f t="shared" si="0"/>
        <v>-3.1999999999999997</v>
      </c>
      <c r="M9" t="s">
        <v>84</v>
      </c>
    </row>
    <row r="10" spans="1:13" ht="12">
      <c r="A10" t="s">
        <v>78</v>
      </c>
      <c r="B10" s="8">
        <f>1-(0.76+0.69)/2</f>
        <v>0.275</v>
      </c>
      <c r="C10">
        <v>2</v>
      </c>
      <c r="D10" t="s">
        <v>73</v>
      </c>
      <c r="E10" t="s">
        <v>72</v>
      </c>
      <c r="F10" s="8">
        <f>1-(0.88+0.48+0.64)/3</f>
        <v>0.33333333333333337</v>
      </c>
      <c r="G10">
        <v>3</v>
      </c>
      <c r="H10" t="s">
        <v>73</v>
      </c>
      <c r="I10" t="s">
        <v>72</v>
      </c>
      <c r="J10" t="s">
        <v>79</v>
      </c>
      <c r="L10" s="16">
        <f t="shared" si="0"/>
        <v>1.2121212121212122</v>
      </c>
      <c r="M10">
        <f t="shared" si="1"/>
        <v>5</v>
      </c>
    </row>
    <row r="11" ht="12">
      <c r="O11" s="14" t="s">
        <v>81</v>
      </c>
    </row>
    <row r="12" spans="1:15" ht="12">
      <c r="A12" t="s">
        <v>80</v>
      </c>
      <c r="B12" s="16">
        <f>SUMPRODUCT(B3:B10,C3:C10)/SUM(C3:C10)</f>
        <v>0.28782608695652173</v>
      </c>
      <c r="C12" s="16"/>
      <c r="D12" s="16"/>
      <c r="E12" s="16"/>
      <c r="F12" s="16">
        <f>SUMPRODUCT(F3:F10,G3:G10)/SUM(G3:G10)</f>
        <v>0.24047619047619045</v>
      </c>
      <c r="L12" s="16">
        <f>SUMPRODUCT(L3:L10,M3:M10)/SUM(M3:M10)</f>
        <v>0.7845887539089625</v>
      </c>
      <c r="O12" s="21">
        <f>1-L12</f>
        <v>0.21541124609103746</v>
      </c>
    </row>
    <row r="13" ht="12">
      <c r="O13" s="21">
        <f>1-(F12/B12)</f>
        <v>0.16450870378362836</v>
      </c>
    </row>
    <row r="16" ht="12">
      <c r="A16" s="22" t="s">
        <v>132</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U31"/>
  <sheetViews>
    <sheetView workbookViewId="0" topLeftCell="A1">
      <selection activeCell="A1" sqref="A1"/>
    </sheetView>
  </sheetViews>
  <sheetFormatPr defaultColWidth="11.57421875" defaultRowHeight="12.75"/>
  <cols>
    <col min="1" max="16384" width="11.421875" style="0" customWidth="1"/>
  </cols>
  <sheetData>
    <row r="1" ht="12">
      <c r="A1" t="s">
        <v>126</v>
      </c>
    </row>
    <row r="2" spans="1:21" ht="12">
      <c r="A2" t="s">
        <v>89</v>
      </c>
      <c r="B2" t="s">
        <v>90</v>
      </c>
      <c r="D2" t="s">
        <v>91</v>
      </c>
      <c r="F2" t="s">
        <v>92</v>
      </c>
      <c r="G2" t="s">
        <v>109</v>
      </c>
      <c r="H2" s="14" t="s">
        <v>125</v>
      </c>
      <c r="I2" t="s">
        <v>110</v>
      </c>
      <c r="M2" t="s">
        <v>113</v>
      </c>
      <c r="N2" t="s">
        <v>114</v>
      </c>
      <c r="O2" t="s">
        <v>119</v>
      </c>
      <c r="P2" t="s">
        <v>117</v>
      </c>
      <c r="Q2" t="s">
        <v>115</v>
      </c>
      <c r="R2" t="s">
        <v>116</v>
      </c>
      <c r="S2" t="s">
        <v>118</v>
      </c>
      <c r="T2" t="s">
        <v>128</v>
      </c>
      <c r="U2" t="s">
        <v>129</v>
      </c>
    </row>
    <row r="3" spans="8:10" ht="12">
      <c r="H3" s="14"/>
      <c r="I3" t="s">
        <v>111</v>
      </c>
      <c r="J3" t="s">
        <v>112</v>
      </c>
    </row>
    <row r="4" spans="1:8" ht="13.5" customHeight="1">
      <c r="A4" t="s">
        <v>93</v>
      </c>
      <c r="H4" s="14"/>
    </row>
    <row r="5" ht="12" customHeight="1">
      <c r="H5" s="14"/>
    </row>
    <row r="6" spans="1:21" ht="13.5" customHeight="1">
      <c r="A6" t="s">
        <v>94</v>
      </c>
      <c r="B6">
        <v>18</v>
      </c>
      <c r="C6">
        <v>288</v>
      </c>
      <c r="D6">
        <v>42</v>
      </c>
      <c r="E6">
        <v>288</v>
      </c>
      <c r="F6">
        <v>0.43</v>
      </c>
      <c r="G6" s="8">
        <f>(B6/C6)/(D6/E6)</f>
        <v>0.42857142857142855</v>
      </c>
      <c r="H6" s="20">
        <f>'Insecticide Resistance'!B4</f>
        <v>0.5</v>
      </c>
      <c r="I6" s="20">
        <f>1-AVERAGE(G6:G9)</f>
        <v>0.4974837304012757</v>
      </c>
      <c r="J6" s="20">
        <f>1-(SUM(B6:B9)/(SUM(C6:C9))/(SUM(D6:D9)/SUM(E6:E9)))</f>
        <v>0.49599430831159863</v>
      </c>
      <c r="K6" s="17">
        <f>B6/C6</f>
        <v>0.0625</v>
      </c>
      <c r="L6" s="17">
        <f>D6/E6</f>
        <v>0.14583333333333334</v>
      </c>
      <c r="M6" s="17">
        <f>SQRT((1-K6)/(K6*C6)+(1-L6)/(L6*E6))</f>
        <v>0.2691108227489837</v>
      </c>
      <c r="N6" s="17">
        <f>M6*M6</f>
        <v>0.07242063492063491</v>
      </c>
      <c r="O6" s="18">
        <f>1/N6</f>
        <v>13.808219178082194</v>
      </c>
      <c r="P6" s="17">
        <f>LN(K6/L6)</f>
        <v>-0.8472978603872037</v>
      </c>
      <c r="Q6" s="17">
        <f>EXP(P6-1.96*M6)</f>
        <v>0.2529015306391434</v>
      </c>
      <c r="R6" s="17">
        <f>EXP(P6+1.96*M6)</f>
        <v>0.7262647597409466</v>
      </c>
      <c r="S6" s="17">
        <f>EXP(P6)</f>
        <v>0.42857142857142855</v>
      </c>
      <c r="T6" s="16">
        <f>SUMPRODUCT(O6:O9,S6:S9)/SUM(O6:O9)</f>
        <v>0.5041446781389544</v>
      </c>
      <c r="U6" s="20">
        <f>1-T6</f>
        <v>0.49585532186104564</v>
      </c>
    </row>
    <row r="7" spans="1:21" ht="27" customHeight="1">
      <c r="A7" t="s">
        <v>95</v>
      </c>
      <c r="B7">
        <v>89</v>
      </c>
      <c r="C7">
        <v>2622</v>
      </c>
      <c r="D7">
        <v>174</v>
      </c>
      <c r="E7">
        <v>2327</v>
      </c>
      <c r="F7">
        <v>0.45</v>
      </c>
      <c r="G7" s="8">
        <f aca="true" t="shared" si="0" ref="G7:G31">(B7/C7)/(D7/E7)</f>
        <v>0.4539462724777962</v>
      </c>
      <c r="H7" s="20"/>
      <c r="I7" s="14"/>
      <c r="J7" s="14"/>
      <c r="K7" s="17">
        <f>B7/C7</f>
        <v>0.033943554538520215</v>
      </c>
      <c r="L7" s="17">
        <f>D7/E7</f>
        <v>0.07477438762354964</v>
      </c>
      <c r="M7" s="17">
        <f>SQRT((1-K7)/(K7*C7)+(1-L7)/(L7*E7))</f>
        <v>0.12716900321939353</v>
      </c>
      <c r="N7" s="17">
        <f>M7*M7</f>
        <v>0.016171955379814123</v>
      </c>
      <c r="O7" s="18">
        <f aca="true" t="shared" si="1" ref="O7:O31">1/N7</f>
        <v>61.835441448731835</v>
      </c>
      <c r="P7" s="17">
        <f>LN(K7/L7)</f>
        <v>-0.7897764305037427</v>
      </c>
      <c r="Q7" s="17">
        <f>EXP(P7-1.96*M7)</f>
        <v>0.3537985212757168</v>
      </c>
      <c r="R7" s="17">
        <f>EXP(P7+1.96*M7)</f>
        <v>0.5824422825552072</v>
      </c>
      <c r="S7" s="17">
        <f>EXP(P7)</f>
        <v>0.4539462724777962</v>
      </c>
      <c r="U7" s="20"/>
    </row>
    <row r="8" spans="1:21" ht="13.5" customHeight="1">
      <c r="A8" t="s">
        <v>96</v>
      </c>
      <c r="B8">
        <v>44</v>
      </c>
      <c r="C8">
        <v>1747</v>
      </c>
      <c r="D8">
        <v>69</v>
      </c>
      <c r="E8">
        <v>1695</v>
      </c>
      <c r="F8">
        <v>0.62</v>
      </c>
      <c r="G8" s="8">
        <f t="shared" si="0"/>
        <v>0.6187003807769842</v>
      </c>
      <c r="H8" s="20"/>
      <c r="I8" s="14"/>
      <c r="J8" s="14"/>
      <c r="K8" s="17">
        <f>B8/C8</f>
        <v>0.025186033199771037</v>
      </c>
      <c r="L8" s="17">
        <f>D8/E8</f>
        <v>0.04070796460176991</v>
      </c>
      <c r="M8" s="17">
        <f>SQRT((1-K8)/(K8*C8)+(1-L8)/(L8*E8))</f>
        <v>0.18988850940364155</v>
      </c>
      <c r="N8" s="17">
        <f>M8*M8</f>
        <v>0.036057646003536864</v>
      </c>
      <c r="O8" s="18">
        <f t="shared" si="1"/>
        <v>27.733368947654288</v>
      </c>
      <c r="P8" s="17">
        <f>LN(K8/L8)</f>
        <v>-0.4801341609985041</v>
      </c>
      <c r="Q8" s="17">
        <f>EXP(P8-1.96*M8)</f>
        <v>0.4264263381346485</v>
      </c>
      <c r="R8" s="17">
        <f>EXP(P8+1.96*M8)</f>
        <v>0.8976700708686416</v>
      </c>
      <c r="S8" s="17">
        <f>EXP(P8)</f>
        <v>0.6187003807769842</v>
      </c>
      <c r="U8" s="20"/>
    </row>
    <row r="9" spans="1:21" ht="13.5" customHeight="1">
      <c r="A9" t="s">
        <v>97</v>
      </c>
      <c r="B9">
        <v>309</v>
      </c>
      <c r="C9">
        <v>16126</v>
      </c>
      <c r="D9">
        <v>576</v>
      </c>
      <c r="E9">
        <v>15296</v>
      </c>
      <c r="F9">
        <v>0.51</v>
      </c>
      <c r="G9" s="8">
        <f t="shared" si="0"/>
        <v>0.5088469965686883</v>
      </c>
      <c r="H9" s="20"/>
      <c r="I9" s="14"/>
      <c r="J9" s="14"/>
      <c r="K9" s="17">
        <f>B9/C9</f>
        <v>0.019161602381247676</v>
      </c>
      <c r="L9" s="17">
        <f>D9/E9</f>
        <v>0.03765690376569038</v>
      </c>
      <c r="M9" s="17">
        <f>SQRT((1-K9)/(K9*C9)+(1-L9)/(L9*E9))</f>
        <v>0.0696058103794092</v>
      </c>
      <c r="N9" s="17">
        <f>M9*M9</f>
        <v>0.00484496883857427</v>
      </c>
      <c r="O9" s="18">
        <f t="shared" si="1"/>
        <v>206.39967630715873</v>
      </c>
      <c r="P9" s="17">
        <f>LN(K9/L9)</f>
        <v>-0.6756079037519306</v>
      </c>
      <c r="Q9" s="17">
        <f>EXP(P9-1.96*M9)</f>
        <v>0.44395357088544407</v>
      </c>
      <c r="R9" s="17">
        <f>EXP(P9+1.96*M9)</f>
        <v>0.5832260013148686</v>
      </c>
      <c r="S9" s="17">
        <f>EXP(P9)</f>
        <v>0.5088469965686883</v>
      </c>
      <c r="U9" s="20"/>
    </row>
    <row r="10" spans="1:21" ht="12">
      <c r="A10" t="s">
        <v>101</v>
      </c>
      <c r="G10" s="8"/>
      <c r="H10" s="20"/>
      <c r="I10" s="14"/>
      <c r="J10" s="14"/>
      <c r="K10" s="8"/>
      <c r="L10" s="8"/>
      <c r="O10" s="18"/>
      <c r="U10" s="20"/>
    </row>
    <row r="11" spans="1:21" ht="13.5" customHeight="1">
      <c r="A11" t="s">
        <v>98</v>
      </c>
      <c r="B11">
        <v>53</v>
      </c>
      <c r="C11">
        <v>1398</v>
      </c>
      <c r="D11">
        <v>138</v>
      </c>
      <c r="E11">
        <v>1394</v>
      </c>
      <c r="F11">
        <v>0.38</v>
      </c>
      <c r="G11" s="8">
        <f t="shared" si="0"/>
        <v>0.3829590926997159</v>
      </c>
      <c r="H11" s="20">
        <f>'Insecticide Resistance'!B5</f>
        <v>0.62</v>
      </c>
      <c r="I11" s="20">
        <f>1-G11</f>
        <v>0.617040907300284</v>
      </c>
      <c r="J11" s="20">
        <f>I11</f>
        <v>0.617040907300284</v>
      </c>
      <c r="K11" s="8">
        <f>B11/C11</f>
        <v>0.03791130185979971</v>
      </c>
      <c r="L11" s="8">
        <f>D11/E11</f>
        <v>0.09899569583931134</v>
      </c>
      <c r="M11">
        <f>SQRT((1-K11)/(K11*C11)+(1-L11)/(L11*E11))</f>
        <v>0.15710389442295217</v>
      </c>
      <c r="N11">
        <f>M11*M11</f>
        <v>0.0246816336428581</v>
      </c>
      <c r="O11" s="18">
        <f t="shared" si="1"/>
        <v>40.51595670164891</v>
      </c>
      <c r="P11" s="17">
        <f>LN(K11/L11)</f>
        <v>-0.9598271030783694</v>
      </c>
      <c r="Q11" s="17">
        <f>EXP(P11-1.96*M11)</f>
        <v>0.2814639971168116</v>
      </c>
      <c r="R11" s="17">
        <f>EXP(P11+1.96*M11)</f>
        <v>0.5210530234192778</v>
      </c>
      <c r="S11" s="17">
        <f>EXP(P11)</f>
        <v>0.3829590926997159</v>
      </c>
      <c r="T11" s="17">
        <f>S11</f>
        <v>0.3829590926997159</v>
      </c>
      <c r="U11" s="20">
        <f>1-T11</f>
        <v>0.617040907300284</v>
      </c>
    </row>
    <row r="12" spans="1:21" ht="13.5" customHeight="1">
      <c r="A12" t="s">
        <v>99</v>
      </c>
      <c r="G12" s="8"/>
      <c r="H12" s="20"/>
      <c r="I12" s="14"/>
      <c r="J12" s="14"/>
      <c r="K12" s="8"/>
      <c r="L12" s="8"/>
      <c r="O12" s="18"/>
      <c r="U12" s="20"/>
    </row>
    <row r="13" spans="1:21" ht="13.5" customHeight="1">
      <c r="A13" t="s">
        <v>100</v>
      </c>
      <c r="B13">
        <v>63</v>
      </c>
      <c r="C13">
        <v>2530</v>
      </c>
      <c r="D13">
        <v>212</v>
      </c>
      <c r="E13">
        <v>2730</v>
      </c>
      <c r="F13">
        <v>0.32</v>
      </c>
      <c r="G13" s="8">
        <f t="shared" si="0"/>
        <v>0.32066149601014243</v>
      </c>
      <c r="H13" s="20">
        <f>'Insecticide Resistance'!B6</f>
        <v>0.52</v>
      </c>
      <c r="I13" s="20">
        <f>1-AVERAGE(G13:G14)</f>
        <v>0.5497662870107204</v>
      </c>
      <c r="J13" s="20">
        <f>1-((B13+B14)/(C13+C14))/((D13+D14)/(E13+E14))</f>
        <v>0.5100475220638154</v>
      </c>
      <c r="K13" s="8">
        <f>B13/C13</f>
        <v>0.024901185770750987</v>
      </c>
      <c r="L13" s="8">
        <f>D13/E13</f>
        <v>0.07765567765567766</v>
      </c>
      <c r="M13">
        <f>SQRT((1-K13)/(K13*C13)+(1-L13)/(L13*E13))</f>
        <v>0.14081349268374438</v>
      </c>
      <c r="N13">
        <f>M13*M13</f>
        <v>0.019828439721794933</v>
      </c>
      <c r="O13" s="18">
        <f t="shared" si="1"/>
        <v>50.432611644214475</v>
      </c>
      <c r="P13" s="17">
        <f>LN(K13/L13)</f>
        <v>-1.1373692418230403</v>
      </c>
      <c r="Q13" s="17">
        <f>EXP(P13-1.96*M13)</f>
        <v>0.24332344106707482</v>
      </c>
      <c r="R13" s="17">
        <f>EXP(P13+1.96*M13)</f>
        <v>0.4225807204293074</v>
      </c>
      <c r="S13" s="17">
        <f>EXP(P13)</f>
        <v>0.32066149601014243</v>
      </c>
      <c r="T13" s="16">
        <f>SUMPRODUCT(O13:O16,S13:S16)/SUM(O13:O16)</f>
        <v>0.5103752989545458</v>
      </c>
      <c r="U13" s="20">
        <f>1-T13</f>
        <v>0.4896247010454542</v>
      </c>
    </row>
    <row r="14" spans="1:21" ht="12.75" customHeight="1">
      <c r="A14" t="s">
        <v>98</v>
      </c>
      <c r="B14">
        <v>182</v>
      </c>
      <c r="C14">
        <v>1398</v>
      </c>
      <c r="D14">
        <v>313</v>
      </c>
      <c r="E14">
        <v>1394</v>
      </c>
      <c r="F14">
        <v>0.58</v>
      </c>
      <c r="G14" s="8">
        <f t="shared" si="0"/>
        <v>0.5798059299684167</v>
      </c>
      <c r="H14" s="20"/>
      <c r="I14" s="14"/>
      <c r="J14" s="14"/>
      <c r="K14" s="8">
        <f>B14/C14</f>
        <v>0.1301859799713877</v>
      </c>
      <c r="L14" s="8">
        <f>D14/E14</f>
        <v>0.22453371592539456</v>
      </c>
      <c r="M14">
        <f>SQRT((1-K14)/(K14*C14)+(1-L14)/(L14*E14))</f>
        <v>0.08518641896676513</v>
      </c>
      <c r="N14">
        <f>M14*M14</f>
        <v>0.007256725976381241</v>
      </c>
      <c r="O14" s="18">
        <f t="shared" si="1"/>
        <v>137.80319158457138</v>
      </c>
      <c r="P14" s="17">
        <f>LN(K14/L14)</f>
        <v>-0.5450618349366443</v>
      </c>
      <c r="Q14" s="17">
        <f>EXP(P14-1.96*M14)</f>
        <v>0.490648537972204</v>
      </c>
      <c r="R14" s="17">
        <f>EXP(P14+1.96*M14)</f>
        <v>0.6851644107937511</v>
      </c>
      <c r="S14" s="17">
        <f>EXP(P14)</f>
        <v>0.5798059299684167</v>
      </c>
      <c r="U14" s="20"/>
    </row>
    <row r="15" spans="1:21" ht="12">
      <c r="A15" t="s">
        <v>127</v>
      </c>
      <c r="G15" s="8"/>
      <c r="H15" s="20"/>
      <c r="I15" s="14"/>
      <c r="J15" s="14"/>
      <c r="U15" s="20"/>
    </row>
    <row r="16" spans="1:21" ht="13.5" customHeight="1">
      <c r="A16" t="s">
        <v>89</v>
      </c>
      <c r="B16" t="s">
        <v>90</v>
      </c>
      <c r="D16" t="s">
        <v>102</v>
      </c>
      <c r="F16" t="s">
        <v>92</v>
      </c>
      <c r="G16" s="8"/>
      <c r="H16" s="20"/>
      <c r="I16" s="20"/>
      <c r="J16" s="14"/>
      <c r="O16" s="18"/>
      <c r="U16" s="20"/>
    </row>
    <row r="17" spans="1:21" ht="13.5" customHeight="1">
      <c r="A17" t="s">
        <v>93</v>
      </c>
      <c r="G17" s="8"/>
      <c r="H17" s="20"/>
      <c r="I17" s="14"/>
      <c r="J17" s="14"/>
      <c r="O17" s="18"/>
      <c r="U17" s="20"/>
    </row>
    <row r="18" spans="1:21" ht="13.5" customHeight="1">
      <c r="A18" t="s">
        <v>103</v>
      </c>
      <c r="B18">
        <v>23</v>
      </c>
      <c r="C18">
        <v>3426</v>
      </c>
      <c r="D18">
        <v>34</v>
      </c>
      <c r="E18">
        <v>2912</v>
      </c>
      <c r="F18">
        <v>0.57</v>
      </c>
      <c r="G18" s="8">
        <f t="shared" si="0"/>
        <v>0.5749802547989423</v>
      </c>
      <c r="H18" s="20">
        <f>'Insecticide Resistance'!F4</f>
        <v>0.39</v>
      </c>
      <c r="I18" s="20">
        <f>1-AVERAGE(G18:G21)</f>
        <v>0.4511212583484724</v>
      </c>
      <c r="J18" s="20">
        <f>1-(SUM(B18:B21)/(SUM(C18:C21))/(SUM(D18:D21)/SUM(E18:E21)))</f>
        <v>0.45311255484540613</v>
      </c>
      <c r="K18" s="8">
        <f>B18/C18</f>
        <v>0.006713368359603036</v>
      </c>
      <c r="L18" s="8">
        <f>D18/E18</f>
        <v>0.011675824175824176</v>
      </c>
      <c r="M18">
        <f>SQRT((1-K18)/(K18*C18)+(1-L18)/(L18*E18))</f>
        <v>0.2688024058694205</v>
      </c>
      <c r="N18">
        <f>M18*M18</f>
        <v>0.07225473340118867</v>
      </c>
      <c r="O18" s="18">
        <f t="shared" si="1"/>
        <v>13.8399237382495</v>
      </c>
      <c r="P18" s="17">
        <f>LN(K18/L18)</f>
        <v>-0.5534195782545004</v>
      </c>
      <c r="Q18" s="17">
        <f>EXP(P18-1.96*M18)</f>
        <v>0.3395030684911938</v>
      </c>
      <c r="R18" s="17">
        <f>EXP(P18+1.96*M18)</f>
        <v>0.9737829318536246</v>
      </c>
      <c r="S18" s="17">
        <f>EXP(P18)</f>
        <v>0.5749802547989423</v>
      </c>
      <c r="T18" s="16">
        <f>SUMPRODUCT(O18:O21,S18:S21)/SUM(O18:O21)</f>
        <v>0.7324571165569443</v>
      </c>
      <c r="U18" s="20">
        <f>1-T18</f>
        <v>0.26754288344305566</v>
      </c>
    </row>
    <row r="19" spans="1:21" ht="13.5" customHeight="1">
      <c r="A19" t="s">
        <v>104</v>
      </c>
      <c r="B19">
        <v>16</v>
      </c>
      <c r="C19">
        <v>3902</v>
      </c>
      <c r="D19">
        <v>49</v>
      </c>
      <c r="E19">
        <v>3403</v>
      </c>
      <c r="F19">
        <v>0.28</v>
      </c>
      <c r="G19" s="8">
        <f t="shared" si="0"/>
        <v>0.2847728532725238</v>
      </c>
      <c r="H19" s="20"/>
      <c r="I19" s="14"/>
      <c r="J19" s="14"/>
      <c r="K19" s="8">
        <f>B19/C19</f>
        <v>0.004100461301896463</v>
      </c>
      <c r="L19" s="8">
        <f>D19/E19</f>
        <v>0.014399059653247136</v>
      </c>
      <c r="M19">
        <f>SQRT((1-K19)/(K19*C19)+(1-L19)/(L19*E19))</f>
        <v>0.28698088102462027</v>
      </c>
      <c r="N19">
        <f>M19*M19</f>
        <v>0.08235802607366725</v>
      </c>
      <c r="O19" s="18">
        <f t="shared" si="1"/>
        <v>12.142107426245552</v>
      </c>
      <c r="P19" s="17">
        <f>LN(K19/L19)</f>
        <v>-1.256063422552996</v>
      </c>
      <c r="Q19" s="17">
        <f>EXP(P19-1.96*M19)</f>
        <v>0.16226151594611407</v>
      </c>
      <c r="R19" s="17">
        <f>EXP(P19+1.96*M19)</f>
        <v>0.4997831894280198</v>
      </c>
      <c r="S19" s="17">
        <f>EXP(P19)</f>
        <v>0.2847728532725238</v>
      </c>
      <c r="U19" s="20"/>
    </row>
    <row r="20" spans="1:21" ht="13.5" customHeight="1">
      <c r="A20" t="s">
        <v>105</v>
      </c>
      <c r="B20">
        <v>83</v>
      </c>
      <c r="C20">
        <v>140</v>
      </c>
      <c r="D20">
        <v>110</v>
      </c>
      <c r="E20">
        <v>146</v>
      </c>
      <c r="F20">
        <v>0.61</v>
      </c>
      <c r="G20" s="8">
        <f t="shared" si="0"/>
        <v>0.7868831168831169</v>
      </c>
      <c r="H20" s="20"/>
      <c r="I20" s="14"/>
      <c r="J20" s="14"/>
      <c r="K20" s="8">
        <f>B20/C20</f>
        <v>0.5928571428571429</v>
      </c>
      <c r="L20" s="8">
        <f>D20/E20</f>
        <v>0.7534246575342466</v>
      </c>
      <c r="M20">
        <f>SQRT((1-K20)/(K20*C20)+(1-L20)/(L20*E20))</f>
        <v>0.08453951532060694</v>
      </c>
      <c r="N20">
        <f>M20*M20</f>
        <v>0.0071469296506431355</v>
      </c>
      <c r="O20" s="18">
        <f t="shared" si="1"/>
        <v>139.92022433157885</v>
      </c>
      <c r="P20" s="17">
        <f>LN(K20/L20)</f>
        <v>-0.2396755588967862</v>
      </c>
      <c r="Q20" s="17">
        <f>EXP(P20-1.96*M20)</f>
        <v>0.666728068949499</v>
      </c>
      <c r="R20" s="17">
        <f>EXP(P20+1.96*M20)</f>
        <v>0.9286920237380748</v>
      </c>
      <c r="S20" s="17">
        <f>EXP(P20)</f>
        <v>0.7868831168831169</v>
      </c>
      <c r="U20" s="20"/>
    </row>
    <row r="21" spans="1:21" ht="13.5" customHeight="1">
      <c r="A21" t="s">
        <v>101</v>
      </c>
      <c r="G21" s="8"/>
      <c r="H21" s="20"/>
      <c r="I21" s="14"/>
      <c r="J21" s="14"/>
      <c r="K21" s="8"/>
      <c r="L21" s="8"/>
      <c r="O21" s="18"/>
      <c r="U21" s="20"/>
    </row>
    <row r="22" spans="1:21" ht="13.5" customHeight="1">
      <c r="A22" t="s">
        <v>85</v>
      </c>
      <c r="B22">
        <v>53</v>
      </c>
      <c r="C22">
        <v>2295</v>
      </c>
      <c r="D22">
        <v>185</v>
      </c>
      <c r="E22">
        <v>2337</v>
      </c>
      <c r="F22">
        <v>0.29</v>
      </c>
      <c r="G22" s="8">
        <f t="shared" si="0"/>
        <v>0.2917293764352588</v>
      </c>
      <c r="H22" s="20">
        <f>'Insecticide Resistance'!F5</f>
        <v>0.39</v>
      </c>
      <c r="I22" s="20">
        <f>1-AVERAGE(G22:G25)</f>
        <v>0.3503977156208866</v>
      </c>
      <c r="J22" s="20">
        <f>1-(SUM(B22:B25)/(SUM(C22:C25))/(SUM(D22:D25)/SUM(E22:E25)))</f>
        <v>0.25599157599157585</v>
      </c>
      <c r="K22" s="8">
        <f>B22/C22</f>
        <v>0.02309368191721133</v>
      </c>
      <c r="L22" s="8">
        <f>D22/E22</f>
        <v>0.07916131792896876</v>
      </c>
      <c r="M22">
        <f>SQRT((1-K22)/(K22*C22)+(1-L22)/(L22*E22))</f>
        <v>0.15300229106252125</v>
      </c>
      <c r="N22">
        <f>M22*M22</f>
        <v>0.02340970107038047</v>
      </c>
      <c r="O22" s="18">
        <f t="shared" si="1"/>
        <v>42.71733316856691</v>
      </c>
      <c r="P22" s="17">
        <f>LN(K22/L22)</f>
        <v>-1.2319286994819905</v>
      </c>
      <c r="Q22" s="17">
        <f>EXP(P22-1.96*M22)</f>
        <v>0.2161434027496233</v>
      </c>
      <c r="R22" s="17">
        <f>EXP(P22+1.96*M22)</f>
        <v>0.39374798394328164</v>
      </c>
      <c r="S22" s="17">
        <f>EXP(P22)</f>
        <v>0.2917293764352588</v>
      </c>
      <c r="T22" s="16">
        <f>SUMPRODUCT(O22:O25,S22:S25)/SUM(O22:O25)</f>
        <v>0.7569272542414524</v>
      </c>
      <c r="U22" s="20">
        <f>1-T22</f>
        <v>0.24307274575854765</v>
      </c>
    </row>
    <row r="23" spans="1:21" ht="12">
      <c r="A23" t="s">
        <v>86</v>
      </c>
      <c r="B23">
        <v>219</v>
      </c>
      <c r="C23">
        <v>4572</v>
      </c>
      <c r="D23">
        <v>78</v>
      </c>
      <c r="E23">
        <v>1935</v>
      </c>
      <c r="F23">
        <v>1.19</v>
      </c>
      <c r="G23" s="8">
        <f t="shared" si="0"/>
        <v>1.1882949727437917</v>
      </c>
      <c r="H23" s="20"/>
      <c r="I23" s="14"/>
      <c r="J23" s="14"/>
      <c r="K23" s="8">
        <f>B23/C23</f>
        <v>0.047900262467191604</v>
      </c>
      <c r="L23" s="8">
        <f>D23/E23</f>
        <v>0.040310077519379844</v>
      </c>
      <c r="M23">
        <f>SQRT((1-K23)/(K23*C23)+(1-L23)/(L23*E23))</f>
        <v>0.12903954564734915</v>
      </c>
      <c r="N23">
        <f>M23*M23</f>
        <v>0.016651204340874304</v>
      </c>
      <c r="O23" s="18">
        <f t="shared" si="1"/>
        <v>60.055716062847445</v>
      </c>
      <c r="P23" s="17">
        <f>LN(K23/L23)</f>
        <v>0.17251948367609005</v>
      </c>
      <c r="Q23" s="17">
        <f>EXP(P23-1.96*M23)</f>
        <v>0.9227489953835346</v>
      </c>
      <c r="R23" s="17">
        <f>EXP(P23+1.96*M23)</f>
        <v>1.5302589862601381</v>
      </c>
      <c r="S23" s="17">
        <f>EXP(P23)</f>
        <v>1.1882949727437917</v>
      </c>
      <c r="U23" s="20"/>
    </row>
    <row r="24" spans="1:21" ht="13.5" customHeight="1">
      <c r="A24" t="s">
        <v>87</v>
      </c>
      <c r="B24">
        <v>15</v>
      </c>
      <c r="C24">
        <v>4410</v>
      </c>
      <c r="D24">
        <v>30</v>
      </c>
      <c r="E24">
        <v>4725</v>
      </c>
      <c r="F24">
        <v>0.54</v>
      </c>
      <c r="G24" s="8">
        <f t="shared" si="0"/>
        <v>0.5357142857142857</v>
      </c>
      <c r="H24" s="20"/>
      <c r="I24" s="14"/>
      <c r="J24" s="14"/>
      <c r="K24" s="8">
        <f>B24/C24</f>
        <v>0.003401360544217687</v>
      </c>
      <c r="L24" s="8">
        <f>D24/E24</f>
        <v>0.006349206349206349</v>
      </c>
      <c r="M24">
        <f>SQRT((1-K24)/(K24*C24)+(1-L24)/(L24*E24))</f>
        <v>0.3155338372009336</v>
      </c>
      <c r="N24">
        <f>M24*M24</f>
        <v>0.09956160241874526</v>
      </c>
      <c r="O24" s="18">
        <f t="shared" si="1"/>
        <v>10.044032796841787</v>
      </c>
      <c r="P24" s="17">
        <f>LN(K24/L24)</f>
        <v>-0.6241543090729939</v>
      </c>
      <c r="Q24" s="17">
        <f>EXP(P24-1.96*M24)</f>
        <v>0.2886326144091124</v>
      </c>
      <c r="R24" s="17">
        <f>EXP(P24+1.96*M24)</f>
        <v>0.9943082714539789</v>
      </c>
      <c r="S24" s="17">
        <f>EXP(P24)</f>
        <v>0.5357142857142857</v>
      </c>
      <c r="U24" s="20"/>
    </row>
    <row r="25" spans="1:21" ht="27" customHeight="1">
      <c r="A25" t="s">
        <v>88</v>
      </c>
      <c r="B25">
        <v>33</v>
      </c>
      <c r="C25">
        <v>933</v>
      </c>
      <c r="D25">
        <v>57</v>
      </c>
      <c r="E25">
        <v>939</v>
      </c>
      <c r="F25">
        <v>0.58</v>
      </c>
      <c r="G25" s="8">
        <f t="shared" si="0"/>
        <v>0.5826705026231173</v>
      </c>
      <c r="H25" s="20"/>
      <c r="I25" s="14"/>
      <c r="J25" s="14"/>
      <c r="K25" s="8">
        <f>B25/C25</f>
        <v>0.03536977491961415</v>
      </c>
      <c r="L25" s="8">
        <f>D25/E25</f>
        <v>0.06070287539936102</v>
      </c>
      <c r="M25">
        <f>SQRT((1-K25)/(K25*C25)+(1-L25)/(L25*E25))</f>
        <v>0.2137992419646246</v>
      </c>
      <c r="N25">
        <f>M25*M25</f>
        <v>0.0457101158646481</v>
      </c>
      <c r="O25" s="18">
        <f t="shared" si="1"/>
        <v>21.876995520227798</v>
      </c>
      <c r="P25" s="17">
        <f>LN(K25/L25)</f>
        <v>-0.5401334280071509</v>
      </c>
      <c r="Q25" s="17">
        <f>EXP(P25-1.96*M25)</f>
        <v>0.38320700903260224</v>
      </c>
      <c r="R25" s="17">
        <f>EXP(P25+1.96*M25)</f>
        <v>0.8859569543995264</v>
      </c>
      <c r="S25" s="17">
        <f>EXP(P25)</f>
        <v>0.5826705026231173</v>
      </c>
      <c r="U25" s="20"/>
    </row>
    <row r="26" spans="1:21" ht="13.5" customHeight="1">
      <c r="A26" t="s">
        <v>99</v>
      </c>
      <c r="G26" s="8"/>
      <c r="H26" s="20"/>
      <c r="I26" s="14"/>
      <c r="J26" s="14"/>
      <c r="O26" s="18"/>
      <c r="U26" s="20"/>
    </row>
    <row r="27" spans="1:21" ht="13.5" customHeight="1">
      <c r="A27" t="s">
        <v>106</v>
      </c>
      <c r="B27">
        <v>52</v>
      </c>
      <c r="C27">
        <v>1418</v>
      </c>
      <c r="D27">
        <v>47</v>
      </c>
      <c r="E27">
        <v>1032</v>
      </c>
      <c r="F27">
        <v>0.81</v>
      </c>
      <c r="G27" s="8">
        <f t="shared" si="0"/>
        <v>0.805209614980644</v>
      </c>
      <c r="H27" s="20">
        <f>'Insecticide Resistance'!F6</f>
        <v>0.11</v>
      </c>
      <c r="I27" s="20">
        <f>1-AVERAGE(G27:G31)</f>
        <v>0.2295589459183578</v>
      </c>
      <c r="J27" s="20">
        <f>1-(SUM(B27:B31)/(SUM(C27:C31))/(SUM(D27:D31)/SUM(E27:E31)))</f>
        <v>0.25187921326860097</v>
      </c>
      <c r="K27" s="8">
        <f>B27/C27</f>
        <v>0.036671368124118475</v>
      </c>
      <c r="L27" s="8">
        <f>D27/E27</f>
        <v>0.045542635658914726</v>
      </c>
      <c r="M27">
        <f>SQRT((1-K27)/(K27*C27)+(1-L27)/(L27*E27))</f>
        <v>0.19706129531091732</v>
      </c>
      <c r="N27">
        <f>M27*M27</f>
        <v>0.03883315410961656</v>
      </c>
      <c r="O27" s="18">
        <f t="shared" si="1"/>
        <v>25.75119180835126</v>
      </c>
      <c r="P27" s="17">
        <f>LN(K27/L27)</f>
        <v>-0.21665264417919597</v>
      </c>
      <c r="Q27" s="17">
        <f>EXP(P27-1.96*M27)</f>
        <v>0.5472263371975382</v>
      </c>
      <c r="R27" s="17">
        <f>EXP(P27+1.96*M27)</f>
        <v>1.184816007536623</v>
      </c>
      <c r="S27" s="17">
        <f>EXP(P27)</f>
        <v>0.805209614980644</v>
      </c>
      <c r="T27" s="16">
        <f>SUMPRODUCT(O27:O31,S27:S31)/SUM(O27:O31)</f>
        <v>0.8986186020408761</v>
      </c>
      <c r="U27" s="20">
        <f>1-T27</f>
        <v>0.10138139795912393</v>
      </c>
    </row>
    <row r="28" spans="1:19" ht="13.5" customHeight="1">
      <c r="A28" t="s">
        <v>107</v>
      </c>
      <c r="B28">
        <v>111</v>
      </c>
      <c r="C28">
        <v>2993</v>
      </c>
      <c r="D28">
        <v>149</v>
      </c>
      <c r="E28">
        <v>2716</v>
      </c>
      <c r="F28">
        <v>0.68</v>
      </c>
      <c r="G28" s="8">
        <f t="shared" si="0"/>
        <v>0.6760203337989986</v>
      </c>
      <c r="H28" s="8"/>
      <c r="K28" s="8">
        <f>B28/C28</f>
        <v>0.037086535248914136</v>
      </c>
      <c r="L28" s="8">
        <f>D28/E28</f>
        <v>0.054860088365243004</v>
      </c>
      <c r="M28">
        <f>SQRT((1-K28)/(K28*C28)+(1-L28)/(L28*E28))</f>
        <v>0.12254842700864567</v>
      </c>
      <c r="N28">
        <f>M28*M28</f>
        <v>0.015018116962293356</v>
      </c>
      <c r="O28" s="18">
        <f t="shared" si="1"/>
        <v>66.58624396858433</v>
      </c>
      <c r="P28" s="17">
        <f>LN(K28/L28)</f>
        <v>-0.3915321238072371</v>
      </c>
      <c r="Q28" s="17">
        <f>EXP(P28-1.96*M28)</f>
        <v>0.5316727870822131</v>
      </c>
      <c r="R28" s="17">
        <f>EXP(P28+1.96*M28)</f>
        <v>0.8595578009883033</v>
      </c>
      <c r="S28" s="17">
        <f>EXP(P28)</f>
        <v>0.6760203337989986</v>
      </c>
    </row>
    <row r="29" spans="1:19" ht="13.5" customHeight="1">
      <c r="A29" t="s">
        <v>108</v>
      </c>
      <c r="B29">
        <v>1066</v>
      </c>
      <c r="C29">
        <v>5552</v>
      </c>
      <c r="D29">
        <v>1702</v>
      </c>
      <c r="E29">
        <v>8199</v>
      </c>
      <c r="F29">
        <v>0.92</v>
      </c>
      <c r="G29" s="8">
        <f t="shared" si="0"/>
        <v>0.9249304513760723</v>
      </c>
      <c r="H29" s="8"/>
      <c r="K29" s="8">
        <f>B29/C29</f>
        <v>0.1920028818443804</v>
      </c>
      <c r="L29" s="8">
        <f>D29/E29</f>
        <v>0.2075862910110989</v>
      </c>
      <c r="M29">
        <f>SQRT((1-K29)/(K29*C29)+(1-L29)/(L29*E29))</f>
        <v>0.03497926532309754</v>
      </c>
      <c r="N29">
        <f>M29*M29</f>
        <v>0.0012235490025436539</v>
      </c>
      <c r="O29" s="18">
        <f t="shared" si="1"/>
        <v>817.2946060362808</v>
      </c>
      <c r="P29" s="17">
        <f>LN(K29/L29)</f>
        <v>-0.07803673199799221</v>
      </c>
      <c r="Q29" s="17">
        <f>EXP(P29-1.96*M29)</f>
        <v>0.8636427391622429</v>
      </c>
      <c r="R29" s="17">
        <f>EXP(P29+1.96*M29)</f>
        <v>0.9905673967833039</v>
      </c>
      <c r="S29" s="17">
        <f>EXP(P29)</f>
        <v>0.9249304513760723</v>
      </c>
    </row>
    <row r="30" spans="1:19" ht="13.5" customHeight="1">
      <c r="A30" t="s">
        <v>87</v>
      </c>
      <c r="B30">
        <v>13</v>
      </c>
      <c r="C30">
        <v>4410</v>
      </c>
      <c r="D30">
        <v>21</v>
      </c>
      <c r="E30">
        <v>4725</v>
      </c>
      <c r="F30">
        <v>0.66</v>
      </c>
      <c r="G30" s="8">
        <f t="shared" si="0"/>
        <v>0.663265306122449</v>
      </c>
      <c r="H30" s="8"/>
      <c r="K30" s="8">
        <f>B30/C30</f>
        <v>0.0029478458049886623</v>
      </c>
      <c r="L30" s="8">
        <f>D30/E30</f>
        <v>0.0044444444444444444</v>
      </c>
      <c r="M30">
        <f>SQRT((1-K30)/(K30*C30)+(1-L30)/(L30*E30))</f>
        <v>0.35228358883273264</v>
      </c>
      <c r="N30">
        <f>M30*M30</f>
        <v>0.12410372696086983</v>
      </c>
      <c r="O30" s="18">
        <f t="shared" si="1"/>
        <v>8.057775737188797</v>
      </c>
      <c r="P30" s="17">
        <f>LN(K30/L30)</f>
        <v>-0.41058020877493473</v>
      </c>
      <c r="Q30" s="17">
        <f>EXP(P30-1.96*M30)</f>
        <v>0.33251974310584076</v>
      </c>
      <c r="R30" s="17">
        <f>EXP(P30+1.96*M30)</f>
        <v>1.3229917183163455</v>
      </c>
      <c r="S30" s="17">
        <f>EXP(P30)</f>
        <v>0.663265306122449</v>
      </c>
    </row>
    <row r="31" spans="1:19" ht="25.5" customHeight="1">
      <c r="A31" t="s">
        <v>88</v>
      </c>
      <c r="B31">
        <v>35</v>
      </c>
      <c r="C31">
        <v>933</v>
      </c>
      <c r="D31">
        <v>45</v>
      </c>
      <c r="E31">
        <v>939</v>
      </c>
      <c r="F31">
        <v>0.78</v>
      </c>
      <c r="G31" s="8">
        <f t="shared" si="0"/>
        <v>0.7827795641300466</v>
      </c>
      <c r="H31" s="8"/>
      <c r="K31" s="8">
        <f>B31/C31</f>
        <v>0.03751339764201501</v>
      </c>
      <c r="L31" s="8">
        <f>D31/E31</f>
        <v>0.04792332268370607</v>
      </c>
      <c r="M31">
        <f>SQRT((1-K31)/(K31*C31)+(1-L31)/(L31*E31))</f>
        <v>0.2205830381197652</v>
      </c>
      <c r="N31">
        <f>M31*M31</f>
        <v>0.04865687670614579</v>
      </c>
      <c r="O31" s="18">
        <f t="shared" si="1"/>
        <v>20.552079535217914</v>
      </c>
      <c r="P31" s="17">
        <f>LN(K31/L31)</f>
        <v>-0.24490414991998685</v>
      </c>
      <c r="Q31" s="17">
        <f>EXP(P31-1.96*M31)</f>
        <v>0.5080136789827803</v>
      </c>
      <c r="R31" s="17">
        <f>EXP(P31+1.96*M31)</f>
        <v>1.2061561949405606</v>
      </c>
      <c r="S31" s="17">
        <f>EXP(P31)</f>
        <v>0.7827795641300466</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2013-11-08T23:15:52Z</dcterms:created>
  <dcterms:modified xsi:type="dcterms:W3CDTF">2015-04-02T19:24:49Z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