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filterPrivacy="1" showInkAnnotation="0" autoCompressPictures="0"/>
  <bookViews>
    <workbookView xWindow="0" yWindow="-20" windowWidth="23220" windowHeight="16040" tabRatio="574"/>
  </bookViews>
  <sheets>
    <sheet name="Overall DFID spending summary" sheetId="10" r:id="rId1"/>
    <sheet name="Four country summary" sheetId="8" r:id="rId2"/>
    <sheet name="Niger" sheetId="1" r:id="rId3"/>
    <sheet name="Tanzania" sheetId="3" r:id="rId4"/>
    <sheet name="Uganda" sheetId="4" r:id="rId5"/>
    <sheet name="Malawi" sheetId="6" r:id="rId6"/>
    <sheet name="Exchange rates" sheetId="2" r:id="rId7"/>
  </sheets>
  <definedNames>
    <definedName name="_xlnm._FilterDatabase" localSheetId="4" hidden="1">Uganda!$G$3:$M$108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0" l="1"/>
  <c r="E8" i="8"/>
  <c r="D8" i="8"/>
  <c r="C8" i="8"/>
  <c r="B8" i="8"/>
  <c r="H7" i="8"/>
  <c r="H10" i="8"/>
  <c r="B29" i="1"/>
  <c r="B30" i="1"/>
  <c r="B31" i="1"/>
  <c r="B32" i="1"/>
  <c r="B33" i="1"/>
  <c r="B34" i="1"/>
  <c r="B35" i="1"/>
  <c r="B37" i="1"/>
  <c r="B38" i="1"/>
  <c r="B39" i="1"/>
  <c r="B40" i="1"/>
  <c r="B41" i="1"/>
  <c r="B42" i="1"/>
  <c r="B44" i="1"/>
  <c r="B7" i="8"/>
  <c r="B22" i="3"/>
  <c r="B23" i="3"/>
  <c r="B24" i="3"/>
  <c r="B25" i="3"/>
  <c r="B26" i="3"/>
  <c r="B27" i="3"/>
  <c r="B28" i="3"/>
  <c r="B29" i="3"/>
  <c r="B30" i="3"/>
  <c r="B32" i="3"/>
  <c r="C7" i="8"/>
  <c r="B24" i="4"/>
  <c r="B25" i="4"/>
  <c r="B26" i="4"/>
  <c r="B27" i="4"/>
  <c r="B28" i="4"/>
  <c r="B29" i="4"/>
  <c r="B30" i="4"/>
  <c r="B31" i="4"/>
  <c r="B32" i="4"/>
  <c r="B33" i="4"/>
  <c r="B34" i="4"/>
  <c r="B35" i="4"/>
  <c r="B37" i="4"/>
  <c r="D7" i="8"/>
  <c r="B23" i="6"/>
  <c r="B24" i="6"/>
  <c r="B25" i="6"/>
  <c r="B26" i="6"/>
  <c r="B27" i="6"/>
  <c r="B28" i="6"/>
  <c r="B29" i="6"/>
  <c r="B30" i="6"/>
  <c r="B31" i="6"/>
  <c r="B32" i="6"/>
  <c r="B34" i="6"/>
  <c r="E7" i="8"/>
  <c r="G7" i="8"/>
  <c r="B14" i="6"/>
  <c r="B1" i="10"/>
  <c r="B2" i="10"/>
  <c r="C18" i="1"/>
  <c r="D18" i="1"/>
  <c r="B5" i="1"/>
  <c r="C5" i="1"/>
  <c r="D5" i="1"/>
  <c r="B6" i="1"/>
  <c r="B7" i="1"/>
  <c r="C7" i="1"/>
  <c r="B8" i="1"/>
  <c r="B9" i="1"/>
  <c r="C9" i="1"/>
  <c r="D10" i="1"/>
  <c r="D11" i="1"/>
  <c r="B13" i="1"/>
  <c r="C13" i="1"/>
  <c r="D13" i="1"/>
  <c r="B14" i="1"/>
  <c r="C14" i="1"/>
  <c r="D14" i="1"/>
  <c r="B15" i="1"/>
  <c r="C15" i="1"/>
  <c r="D15" i="1"/>
  <c r="C16" i="1"/>
  <c r="C17" i="1"/>
  <c r="D17" i="1"/>
  <c r="C42" i="1"/>
  <c r="B17" i="8"/>
  <c r="C23" i="3"/>
  <c r="C17" i="8"/>
  <c r="C31" i="6"/>
  <c r="E17" i="8"/>
  <c r="I17" i="8"/>
  <c r="J17" i="8"/>
  <c r="C37" i="1"/>
  <c r="B16" i="8"/>
  <c r="C25" i="3"/>
  <c r="C16" i="8"/>
  <c r="C31" i="4"/>
  <c r="D16" i="8"/>
  <c r="C23" i="6"/>
  <c r="E16" i="8"/>
  <c r="I16" i="8"/>
  <c r="J16" i="8"/>
  <c r="E16" i="10"/>
  <c r="C28" i="3"/>
  <c r="C15" i="8"/>
  <c r="C27" i="4"/>
  <c r="D15" i="8"/>
  <c r="C28" i="6"/>
  <c r="E15" i="8"/>
  <c r="I15" i="8"/>
  <c r="J15" i="8"/>
  <c r="E15" i="10"/>
  <c r="C41" i="1"/>
  <c r="B14" i="8"/>
  <c r="C30" i="3"/>
  <c r="C14" i="8"/>
  <c r="C28" i="4"/>
  <c r="D14" i="8"/>
  <c r="I14" i="8"/>
  <c r="J14" i="8"/>
  <c r="E14" i="10"/>
  <c r="C25" i="4"/>
  <c r="D13" i="8"/>
  <c r="C25" i="6"/>
  <c r="E13" i="8"/>
  <c r="I13" i="8"/>
  <c r="J13" i="8"/>
  <c r="E13" i="10"/>
  <c r="C38" i="1"/>
  <c r="B12" i="8"/>
  <c r="C27" i="3"/>
  <c r="C12" i="8"/>
  <c r="C26" i="4"/>
  <c r="C32" i="4"/>
  <c r="D12" i="8"/>
  <c r="C24" i="6"/>
  <c r="E12" i="8"/>
  <c r="I12" i="8"/>
  <c r="J12" i="8"/>
  <c r="E12" i="10"/>
  <c r="C39" i="1"/>
  <c r="B11" i="8"/>
  <c r="C26" i="3"/>
  <c r="C11" i="8"/>
  <c r="C24" i="4"/>
  <c r="D11" i="8"/>
  <c r="C27" i="6"/>
  <c r="E11" i="8"/>
  <c r="I11" i="8"/>
  <c r="J11" i="8"/>
  <c r="E11" i="10"/>
  <c r="B28" i="1"/>
  <c r="C28" i="1"/>
  <c r="B10" i="8"/>
  <c r="C22" i="3"/>
  <c r="C10" i="8"/>
  <c r="C34" i="4"/>
  <c r="C33" i="4"/>
  <c r="D10" i="8"/>
  <c r="C26" i="6"/>
  <c r="E10" i="8"/>
  <c r="I10" i="8"/>
  <c r="J10" i="8"/>
  <c r="E10" i="10"/>
  <c r="C35" i="4"/>
  <c r="D20" i="8"/>
  <c r="C32" i="6"/>
  <c r="E20" i="8"/>
  <c r="J20" i="8"/>
  <c r="I20" i="8"/>
  <c r="C40" i="1"/>
  <c r="B19" i="8"/>
  <c r="C29" i="3"/>
  <c r="C19" i="8"/>
  <c r="C30" i="4"/>
  <c r="D19" i="8"/>
  <c r="C30" i="6"/>
  <c r="E19" i="8"/>
  <c r="J19" i="8"/>
  <c r="I19" i="8"/>
  <c r="C24" i="3"/>
  <c r="C18" i="8"/>
  <c r="C29" i="4"/>
  <c r="D18" i="8"/>
  <c r="C29" i="6"/>
  <c r="E18" i="8"/>
  <c r="J18" i="8"/>
  <c r="I18" i="8"/>
  <c r="C4" i="3"/>
  <c r="D4" i="3"/>
  <c r="C5" i="3"/>
  <c r="D5" i="3"/>
  <c r="D6" i="3"/>
  <c r="B7" i="3"/>
  <c r="C7" i="3"/>
  <c r="D7" i="3"/>
  <c r="B8" i="3"/>
  <c r="C8" i="3"/>
  <c r="D8" i="3"/>
  <c r="D9" i="3"/>
  <c r="C10" i="3"/>
  <c r="D10" i="3"/>
  <c r="D11" i="3"/>
  <c r="D12" i="3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B6" i="4"/>
  <c r="C6" i="4"/>
  <c r="D6" i="4"/>
  <c r="B5" i="4"/>
  <c r="C5" i="4"/>
  <c r="D5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7" i="6"/>
  <c r="C7" i="6"/>
  <c r="D7" i="6"/>
  <c r="B5" i="6"/>
  <c r="C5" i="6"/>
  <c r="D5" i="6"/>
  <c r="B6" i="6"/>
  <c r="C6" i="6"/>
  <c r="D6" i="6"/>
  <c r="B8" i="6"/>
  <c r="C8" i="6"/>
  <c r="D8" i="6"/>
  <c r="B9" i="6"/>
  <c r="C9" i="6"/>
  <c r="D9" i="6"/>
  <c r="B10" i="6"/>
  <c r="C10" i="6"/>
  <c r="D10" i="6"/>
  <c r="B11" i="6"/>
  <c r="C11" i="6"/>
  <c r="D11" i="6"/>
  <c r="C12" i="6"/>
  <c r="D12" i="6"/>
  <c r="C13" i="6"/>
  <c r="C14" i="6"/>
  <c r="G18" i="8"/>
  <c r="H18" i="8"/>
  <c r="G20" i="8"/>
  <c r="H20" i="8"/>
  <c r="E22" i="8"/>
  <c r="D22" i="8"/>
  <c r="C22" i="8"/>
  <c r="B22" i="8"/>
  <c r="C34" i="6"/>
  <c r="D16" i="6"/>
  <c r="C16" i="6"/>
  <c r="B16" i="6"/>
  <c r="D18" i="4"/>
  <c r="C18" i="4"/>
  <c r="B18" i="4"/>
  <c r="C37" i="4"/>
  <c r="C32" i="3"/>
  <c r="D14" i="3"/>
  <c r="C14" i="3"/>
  <c r="B14" i="3"/>
  <c r="C44" i="1"/>
  <c r="D20" i="1"/>
  <c r="C20" i="1"/>
  <c r="B20" i="1"/>
  <c r="G19" i="8"/>
  <c r="H19" i="8"/>
  <c r="G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C10" i="10"/>
  <c r="C11" i="10"/>
  <c r="C12" i="10"/>
  <c r="C13" i="10"/>
  <c r="C14" i="10"/>
  <c r="C15" i="10"/>
  <c r="C16" i="10"/>
  <c r="C17" i="10"/>
</calcChain>
</file>

<file path=xl/comments1.xml><?xml version="1.0" encoding="utf-8"?>
<comments xmlns="http://schemas.openxmlformats.org/spreadsheetml/2006/main">
  <authors>
    <author>Author</author>
  </authors>
  <commentList>
    <comment ref="B24" authorId="0">
      <text>
        <r>
          <rPr>
            <b/>
            <sz val="9"/>
            <color indexed="81"/>
            <rFont val="Calibri"/>
            <family val="2"/>
          </rPr>
          <t>Author:</t>
        </r>
        <r>
          <rPr>
            <sz val="9"/>
            <color indexed="81"/>
            <rFont val="Calibri"/>
            <family val="2"/>
          </rPr>
          <t xml:space="preserve">
SCI board financial report (June 2014)</t>
        </r>
      </text>
    </comment>
    <comment ref="D24" authorId="0">
      <text>
        <r>
          <rPr>
            <b/>
            <sz val="9"/>
            <color indexed="81"/>
            <rFont val="Calibri"/>
            <family val="2"/>
          </rPr>
          <t>Author:</t>
        </r>
        <r>
          <rPr>
            <sz val="9"/>
            <color indexed="81"/>
            <rFont val="Calibri"/>
            <family val="2"/>
          </rPr>
          <t xml:space="preserve">
Based on conversation with SCI Program Mangager for Uganda, Ocotber 14, 2014</t>
        </r>
      </text>
    </comment>
    <comment ref="E24" authorId="0">
      <text>
        <r>
          <rPr>
            <b/>
            <sz val="9"/>
            <color indexed="81"/>
            <rFont val="Calibri"/>
            <family val="2"/>
          </rPr>
          <t>Author:</t>
        </r>
        <r>
          <rPr>
            <sz val="9"/>
            <color indexed="81"/>
            <rFont val="Calibri"/>
            <family val="2"/>
          </rPr>
          <t xml:space="preserve">
SCI financial update (October 2014), sheet Combined with previous updates</t>
        </r>
      </text>
    </comment>
    <comment ref="A25" authorId="0">
      <text>
        <r>
          <rPr>
            <b/>
            <sz val="9"/>
            <color indexed="81"/>
            <rFont val="Calibri"/>
            <family val="2"/>
          </rPr>
          <t>Author:</t>
        </r>
        <r>
          <rPr>
            <sz val="9"/>
            <color indexed="81"/>
            <rFont val="Calibri"/>
            <family val="2"/>
          </rPr>
          <t xml:space="preserve">
SCI director's presentation (June 2013), Pg 11</t>
        </r>
      </text>
    </comment>
  </commentList>
</comments>
</file>

<file path=xl/sharedStrings.xml><?xml version="1.0" encoding="utf-8"?>
<sst xmlns="http://schemas.openxmlformats.org/spreadsheetml/2006/main" count="1247" uniqueCount="283">
  <si>
    <t>2011-12</t>
  </si>
  <si>
    <t>2012-13</t>
  </si>
  <si>
    <t>2013-14</t>
  </si>
  <si>
    <t>MDA</t>
  </si>
  <si>
    <t>Drug supply chain</t>
  </si>
  <si>
    <t>M&amp;E</t>
  </si>
  <si>
    <t>Central management</t>
  </si>
  <si>
    <t>Training</t>
  </si>
  <si>
    <t>CAT1 (Budget)</t>
  </si>
  <si>
    <t>CAT2 (Cost Data)</t>
  </si>
  <si>
    <t>Sum of Amount</t>
  </si>
  <si>
    <t>CDD</t>
  </si>
  <si>
    <t>Drug Storage</t>
  </si>
  <si>
    <t>Drug Supply Chain</t>
  </si>
  <si>
    <t>Impact Survey</t>
  </si>
  <si>
    <t>Office Running Costs</t>
  </si>
  <si>
    <t>Central Management</t>
  </si>
  <si>
    <t>Petrol</t>
  </si>
  <si>
    <t>Supervision</t>
  </si>
  <si>
    <t>Training of Health Centre Staff</t>
  </si>
  <si>
    <t>Advocacy and Social Mobilisation</t>
  </si>
  <si>
    <t>Advocacy</t>
  </si>
  <si>
    <t>Mobilisation</t>
  </si>
  <si>
    <t>Drug Clearance, Storage and Delivery</t>
  </si>
  <si>
    <t>Lab Equipment</t>
  </si>
  <si>
    <t>National Review Meeting</t>
  </si>
  <si>
    <t>Radio</t>
  </si>
  <si>
    <t>Survey CCA</t>
  </si>
  <si>
    <t>TV, Media</t>
  </si>
  <si>
    <t>Fuel</t>
  </si>
  <si>
    <t>Training health center staff</t>
  </si>
  <si>
    <t>Training (unspecified)</t>
  </si>
  <si>
    <t>Year</t>
  </si>
  <si>
    <t>Total</t>
  </si>
  <si>
    <t>Community drug distribution</t>
  </si>
  <si>
    <t>Mobilization</t>
  </si>
  <si>
    <t>-</t>
  </si>
  <si>
    <t>GiveWell summary, in CFA</t>
  </si>
  <si>
    <t>GiveWell summary, in USD</t>
  </si>
  <si>
    <t>* Data not for full fiscal year</t>
  </si>
  <si>
    <t>2011-12 *</t>
  </si>
  <si>
    <t>2013-14 *</t>
  </si>
  <si>
    <t>October 2011 - May 2013</t>
  </si>
  <si>
    <t>Unspecified</t>
  </si>
  <si>
    <t>Office running costs</t>
  </si>
  <si>
    <t>Period Average</t>
  </si>
  <si>
    <t>Period High</t>
  </si>
  <si>
    <t>Period Low</t>
  </si>
  <si>
    <t>USD / XAF</t>
  </si>
  <si>
    <t>% of total</t>
  </si>
  <si>
    <t>Amount</t>
  </si>
  <si>
    <t>FY</t>
  </si>
  <si>
    <t>CAT1</t>
  </si>
  <si>
    <t>Cost Study Analysis CAT2</t>
  </si>
  <si>
    <t>Sum of Amount Tzs</t>
  </si>
  <si>
    <t>Drugs/Logistics Delivery to Implementation Units</t>
  </si>
  <si>
    <t>Drug Logistics</t>
  </si>
  <si>
    <t>Programme Office Support</t>
  </si>
  <si>
    <t>Central Administration</t>
  </si>
  <si>
    <t>MDA Cost</t>
  </si>
  <si>
    <t>MDA Training</t>
  </si>
  <si>
    <t>Stakeholders Meeting at Central Level</t>
  </si>
  <si>
    <t>Strategic Planning</t>
  </si>
  <si>
    <t>NTD MDA Supervision</t>
  </si>
  <si>
    <t>MDA Supervision</t>
  </si>
  <si>
    <t>NTD Mwanza Pre-planning Meeting</t>
  </si>
  <si>
    <t>NTD MwanzaTraining of Trainers</t>
  </si>
  <si>
    <t>NTD Programme High Level Advocacy Meeting</t>
  </si>
  <si>
    <t>NTD Programme Media Training and Advocacy</t>
  </si>
  <si>
    <t>NTD Transporting Medicine to Mwanza for MDA</t>
  </si>
  <si>
    <t>Production of IEC Materials</t>
  </si>
  <si>
    <t>Social Mobilisation</t>
  </si>
  <si>
    <t>Production of Paziquantel Dose Poles</t>
  </si>
  <si>
    <t>Transporting Medicine to Mwanza for MDA</t>
  </si>
  <si>
    <t>GiveWell summary, in Tzs</t>
  </si>
  <si>
    <t>Drug logistics</t>
  </si>
  <si>
    <t>Central administration</t>
  </si>
  <si>
    <t>Strategic planning</t>
  </si>
  <si>
    <t>Social mobilization</t>
  </si>
  <si>
    <t>MDA training</t>
  </si>
  <si>
    <t>MDA supervision</t>
  </si>
  <si>
    <t>March 2011 - July 2013</t>
  </si>
  <si>
    <t>USD / TZS</t>
  </si>
  <si>
    <t>Budget</t>
  </si>
  <si>
    <t>Budget Category1</t>
  </si>
  <si>
    <t>Cost Category2</t>
  </si>
  <si>
    <t>Breakdown Category3</t>
  </si>
  <si>
    <t>???</t>
  </si>
  <si>
    <t>Mapping</t>
  </si>
  <si>
    <t>Per Diems - Technician</t>
  </si>
  <si>
    <t>Boat Hire</t>
  </si>
  <si>
    <t>Fieldwork Fuel</t>
  </si>
  <si>
    <t>Perdiem allowances islands previsit surveys</t>
  </si>
  <si>
    <t>Clearance Costs</t>
  </si>
  <si>
    <t xml:space="preserve">IT Equipment Customs Clearing &amp; Handling </t>
  </si>
  <si>
    <t>Clearing &amp; Handling of Laboratory Equipment &amp; Consumables</t>
  </si>
  <si>
    <t xml:space="preserve">Funds for Clearing &amp; Handling of Microscopes </t>
  </si>
  <si>
    <t>Monitoring and Evaluation</t>
  </si>
  <si>
    <t>Funds for Handling &amp; Clearing Kato Katz from Imperial to Vector Control Division</t>
  </si>
  <si>
    <t>District visit for NGO inventory</t>
  </si>
  <si>
    <t>NGDO inventory fuel</t>
  </si>
  <si>
    <t>Field allowances (NGDO inventory)</t>
  </si>
  <si>
    <t>Forum for NGO partners workshop</t>
  </si>
  <si>
    <t>Stationery &amp; Courier</t>
  </si>
  <si>
    <t>Vehicle</t>
  </si>
  <si>
    <t>Conference</t>
  </si>
  <si>
    <t>Health Education Proposal</t>
  </si>
  <si>
    <t>Funds for Printing IEC Materials</t>
  </si>
  <si>
    <t>Knowledge, Attitude &amp; Practice (KAP)</t>
  </si>
  <si>
    <t>Perdiem allowance during questionnare administration</t>
  </si>
  <si>
    <t>Mapping/Re-Evaluation</t>
  </si>
  <si>
    <t>Lab consumables</t>
  </si>
  <si>
    <t>Per Diems - Driver</t>
  </si>
  <si>
    <t>Per Diems - Teacher</t>
  </si>
  <si>
    <t>Per Diems - Aux. Worker</t>
  </si>
  <si>
    <t>Per Diems - Health Worker</t>
  </si>
  <si>
    <t>Per Diems - LabTech</t>
  </si>
  <si>
    <t>Per Diems - NTD Focal Person</t>
  </si>
  <si>
    <t>Per Diems - Scientist</t>
  </si>
  <si>
    <t>Per Diems - Secretary</t>
  </si>
  <si>
    <t>Per Diems - Volunteer</t>
  </si>
  <si>
    <t>Per Diems - Vector Control Officer</t>
  </si>
  <si>
    <t>Per Diems - Chair Person</t>
  </si>
  <si>
    <t>MDASupervision</t>
  </si>
  <si>
    <t>Staff Salaries</t>
  </si>
  <si>
    <t>Telecommunication</t>
  </si>
  <si>
    <t>Bank Charges</t>
  </si>
  <si>
    <t>PZQ Syrup Admininstration</t>
  </si>
  <si>
    <t>Field allowance (Syrup supervision)</t>
  </si>
  <si>
    <t>PZQ Syrup Admininstration (Supervision)</t>
  </si>
  <si>
    <t>Perdiems</t>
  </si>
  <si>
    <t>Training of district technicians/Health Centre Staff</t>
  </si>
  <si>
    <t>Funds for followup NGDOs forum Workshops, (District NGDO forum meeting)</t>
  </si>
  <si>
    <t>Funds for Training - Accomodation &amp; Course Fees</t>
  </si>
  <si>
    <t>Funds for Training - Air ticket</t>
  </si>
  <si>
    <t>Funds for Training - Out of Pocket</t>
  </si>
  <si>
    <t>Customs Clearing and Handling of CCA Kits</t>
  </si>
  <si>
    <t>CCA Kits/GPS Sets</t>
  </si>
  <si>
    <t>PZQ, Shipment, Customs Clearance &amp; Handling Charges</t>
  </si>
  <si>
    <t>Data Analysis</t>
  </si>
  <si>
    <t>Data Management &amp; Reporting</t>
  </si>
  <si>
    <t>Vehicle Expenses</t>
  </si>
  <si>
    <t>Evaluation Workshop</t>
  </si>
  <si>
    <t>Travel &amp; Accomodation</t>
  </si>
  <si>
    <t>Safari Day allowance</t>
  </si>
  <si>
    <t>MDA Drug Distribution</t>
  </si>
  <si>
    <t>Funds for COBAHED Activities</t>
  </si>
  <si>
    <t xml:space="preserve">Allowance for offloading and stacking health education materials </t>
  </si>
  <si>
    <t>Funds for Health Education Materials</t>
  </si>
  <si>
    <t>Monitoring radio health education messages</t>
  </si>
  <si>
    <t>Radio health messages</t>
  </si>
  <si>
    <t>Porter expenses</t>
  </si>
  <si>
    <t>Data Entry/Analysis</t>
  </si>
  <si>
    <t>NDA drug verification certificate fees</t>
  </si>
  <si>
    <t>Stakeholder's Meeting</t>
  </si>
  <si>
    <t>Funds for Clearing HaemoCues</t>
  </si>
  <si>
    <t>Project Local Supplies</t>
  </si>
  <si>
    <t>Customs clearing and handling charges of Hemocue</t>
  </si>
  <si>
    <t>GiveWell summary, in Uganda shillings</t>
  </si>
  <si>
    <t>Unknown</t>
  </si>
  <si>
    <t>Tag</t>
  </si>
  <si>
    <t>September 2011 - August 2013</t>
  </si>
  <si>
    <t>USD / UGX</t>
  </si>
  <si>
    <t>Drug Distribution</t>
  </si>
  <si>
    <t>Drug Transport/Storage/Logistics</t>
  </si>
  <si>
    <t>Stakeholder Meeting</t>
  </si>
  <si>
    <t>Strategic Meeting</t>
  </si>
  <si>
    <t>Supervision of MDA</t>
  </si>
  <si>
    <t>From SCI, "Malawi FULL FILE to Aug 2013 (Last Chq 302 per CB)"</t>
  </si>
  <si>
    <t>GiveWell summary, in MWK</t>
  </si>
  <si>
    <t>CAT1 Budget</t>
  </si>
  <si>
    <t>CAT2 Cost Data</t>
  </si>
  <si>
    <t>Fiscal year</t>
  </si>
  <si>
    <t>* Data not full fiscal year</t>
  </si>
  <si>
    <t>* Data not full fiscal year for 2011-12 and 2013-14</t>
  </si>
  <si>
    <t>November 2011 - August 2013</t>
  </si>
  <si>
    <t>2011-12*</t>
  </si>
  <si>
    <t>2013-14*</t>
  </si>
  <si>
    <t>USD / MWK</t>
  </si>
  <si>
    <t>Niger</t>
  </si>
  <si>
    <t>Tanzania</t>
  </si>
  <si>
    <t>Uganda</t>
  </si>
  <si>
    <t>Malawi</t>
  </si>
  <si>
    <t>Number of months in time period</t>
  </si>
  <si>
    <t>Monitoring and evaluation</t>
  </si>
  <si>
    <t>Notes</t>
  </si>
  <si>
    <t>-- Each country used somewhat different categories</t>
  </si>
  <si>
    <t>N/A</t>
  </si>
  <si>
    <t>Unknown (SCI unable to categorize)</t>
  </si>
  <si>
    <t>Treatments delivered in the country over the time period</t>
  </si>
  <si>
    <t>No</t>
  </si>
  <si>
    <t>Any unrestricted funds used in the country? Any other funding?</t>
  </si>
  <si>
    <t>Small amount for M&amp;E (~25k GBP); there is a SCORE project in the country</t>
  </si>
  <si>
    <t>No unrestricted funding; there is a SCORE project in the country</t>
  </si>
  <si>
    <t>2011 unknown, 490,000 in 2012, 490,000 planned for 2013-14 as of June 2013</t>
  </si>
  <si>
    <t>2011 unknown, 122,996 in 2012, 2.3 million planned for 2013-14 as of June 2013</t>
  </si>
  <si>
    <t>2011 unknown, 200,000 in 2012, 700,000 planned for 2013-14 as of June 2013</t>
  </si>
  <si>
    <t>2011 unknown, 2 million in 2012, 5.6 million planned for 2013-14 as of June 2013</t>
  </si>
  <si>
    <t>Very small amount (~$4k)</t>
  </si>
  <si>
    <t>-- N/A indicates that a category was not used for a country</t>
  </si>
  <si>
    <t>Range</t>
  </si>
  <si>
    <t>Budget item</t>
  </si>
  <si>
    <t>% of spending</t>
  </si>
  <si>
    <t>Description</t>
  </si>
  <si>
    <t>Technical personnel and travel</t>
  </si>
  <si>
    <t>UK-based Technical Director, country programme managers, health economist, biostatistician, data manager; Ugandan-based capacity building advisor. Technical Assistance: Consultancy fees for expertise.</t>
  </si>
  <si>
    <t>Management personnel and travel</t>
  </si>
  <si>
    <t>Per diems, transport, import and road taxes, storage</t>
  </si>
  <si>
    <t>Examples (in rough order of size of expense)</t>
  </si>
  <si>
    <t>TV broadcasts, national review meeting</t>
  </si>
  <si>
    <t>Salaries, utilities, fuel and transport, bank charges, equipment</t>
  </si>
  <si>
    <t>Per diems for surveyors,fuel and transport, equipment, road taxes</t>
  </si>
  <si>
    <t>This is fuel</t>
  </si>
  <si>
    <t>Per diems</t>
  </si>
  <si>
    <t>Radio broadcasts, other unspecified</t>
  </si>
  <si>
    <t>Dose poles, treatment registers</t>
  </si>
  <si>
    <t>Radio broadcasts, per diems, TV broadcasts</t>
  </si>
  <si>
    <t>Radio broadcasts, per diems for surveyors</t>
  </si>
  <si>
    <t>Mostly unspecified - transferred to districts, dose poles</t>
  </si>
  <si>
    <t>Per diems for meetings</t>
  </si>
  <si>
    <t>Salaries, fuel and transport, utilities, supplies and equipment</t>
  </si>
  <si>
    <t>Per diems, venue and refreshments, fuel and transport, supplies, utilities</t>
  </si>
  <si>
    <t>Per diems, fuel</t>
  </si>
  <si>
    <t>Per diems, equipment, fuel</t>
  </si>
  <si>
    <t>Printing, radio and TV broadcasts</t>
  </si>
  <si>
    <t>Per diems, venue and refreshments, fuel and transport, supplies</t>
  </si>
  <si>
    <t>Custom fees, equipment, transport, per diems</t>
  </si>
  <si>
    <t>Salaries, fuel and transport, supplies, utilities, bank charges</t>
  </si>
  <si>
    <t>Per diems, fuel and vehicles, equipment, utilities</t>
  </si>
  <si>
    <t>Printing, radio broadcasts</t>
  </si>
  <si>
    <t>Transferred to another organization</t>
  </si>
  <si>
    <t>Per diems, fuel and vehicles, data entry</t>
  </si>
  <si>
    <t>Per diems, fuel, venue, and food for meeting of district officials</t>
  </si>
  <si>
    <t>Clearance costs for drugs</t>
  </si>
  <si>
    <t>Per diems, boat hire, fuel</t>
  </si>
  <si>
    <t>Equipment</t>
  </si>
  <si>
    <t>Per diems, fuel, and venue for meeting with NGOs</t>
  </si>
  <si>
    <t>Payments to about 20 individuals</t>
  </si>
  <si>
    <t>Review meeting payments, coverage survey, baseline, "postmortem," training</t>
  </si>
  <si>
    <t>Mostly unspecified, allowances, training</t>
  </si>
  <si>
    <t>Mostly unspecified, fuel and transport, supplies, lodging, taxes, insurance, payments to individuals</t>
  </si>
  <si>
    <t>Delivery costs, lab materials, car repair</t>
  </si>
  <si>
    <t>Mostly unclear</t>
  </si>
  <si>
    <t>TV and radio broadcasts</t>
  </si>
  <si>
    <t>Lodging</t>
  </si>
  <si>
    <t>Source</t>
  </si>
  <si>
    <t>Time period of data</t>
  </si>
  <si>
    <t>October 2010 to March 2013</t>
  </si>
  <si>
    <t>SCI report to GiveWell (September 2013), Pgs 2-4.</t>
  </si>
  <si>
    <t>Range across four countries</t>
  </si>
  <si>
    <t>Mass drug administration</t>
  </si>
  <si>
    <t>Min</t>
  </si>
  <si>
    <t>Max</t>
  </si>
  <si>
    <t>March 2011 to August 2013</t>
  </si>
  <si>
    <t>See sheets, 'Niger,' 'Tanzania,' 'Uganda,' and 'Malawi.'</t>
  </si>
  <si>
    <t>Central management (country-level)</t>
  </si>
  <si>
    <t>Largely unspecified transfers to districts, individuals, or other organizations; per diem payments for health workers and supervisors; production of dose poles and treatment registers.</t>
  </si>
  <si>
    <t>Salaries for government staff; fuel and transport; utilities; office supplies and equipment; taxes; bank charges</t>
  </si>
  <si>
    <t>Spent by</t>
  </si>
  <si>
    <t>SCI/CNTD</t>
  </si>
  <si>
    <t>National governments</t>
  </si>
  <si>
    <t xml:space="preserve">Total spent by SCI/CNTD </t>
  </si>
  <si>
    <t>Total spent by national governments</t>
  </si>
  <si>
    <t>Source: SCI report to GiveWell (September 2013), Pgs 2-4.</t>
  </si>
  <si>
    <t>Per diem payments for attendence at review meeting; per diem payments for surveyors; fuel and transport; equipment</t>
  </si>
  <si>
    <t>Per diem payments; fuel and transport; equipment; utilities</t>
  </si>
  <si>
    <t>Mapping (surveys to determine disease prevalance in each district)</t>
  </si>
  <si>
    <t>Monitoring and evaluation (baseline and follow up surveys of prevalence and intensity; coverage surveys)</t>
  </si>
  <si>
    <t>Social mobilization (buiding community awareness of the program)</t>
  </si>
  <si>
    <t>Printing; radio and TV broadcasts; unspecified per diem payments</t>
  </si>
  <si>
    <t>Per diem payments; meeting venue and refreshments; fuel and transport; supplies</t>
  </si>
  <si>
    <t>Custom fees; transport; per diem payments; lab materials; storage</t>
  </si>
  <si>
    <t>Other</t>
  </si>
  <si>
    <t>Includes uncategorized, training, supervision, and advocacy</t>
  </si>
  <si>
    <t>Country budgets are extrapolated from 4 countries: Niger, Tanzania, Uganda, Malawi</t>
  </si>
  <si>
    <t>UK-based SCI and CNTD personnel undertaking project operational and financial management; project administration.</t>
  </si>
  <si>
    <t>From SCI, "SCI Niger spending data (October 2011 to May 2013)"</t>
  </si>
  <si>
    <t>From SCI, "SCI Tanzania spending data (March 2011 to July 2013)"</t>
  </si>
  <si>
    <t>From SCI, "SCI Uganda spending data (September 2011 to August 2013)"</t>
  </si>
  <si>
    <t xml:space="preserve"> </t>
  </si>
  <si>
    <t>USD / GBP</t>
  </si>
  <si>
    <t>Total spent, excluding procurement</t>
  </si>
  <si>
    <t>Source: oanda.com/currency/historical-rates/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</si>
</sst>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7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0" fillId="2" borderId="0" xfId="0" applyFill="1"/>
    <xf numFmtId="17" fontId="0" fillId="0" borderId="0" xfId="0" applyNumberFormat="1"/>
    <xf numFmtId="43" fontId="0" fillId="0" borderId="0" xfId="0" applyNumberFormat="1"/>
    <xf numFmtId="42" fontId="0" fillId="0" borderId="0" xfId="0" applyNumberFormat="1"/>
    <xf numFmtId="0" fontId="4" fillId="0" borderId="0" xfId="0" applyFont="1" applyAlignment="1">
      <alignment horizontal="right"/>
    </xf>
    <xf numFmtId="42" fontId="4" fillId="0" borderId="0" xfId="0" applyNumberFormat="1" applyFont="1"/>
    <xf numFmtId="9" fontId="0" fillId="0" borderId="0" xfId="0" applyNumberFormat="1"/>
    <xf numFmtId="0" fontId="5" fillId="0" borderId="0" xfId="0" applyFont="1"/>
    <xf numFmtId="41" fontId="0" fillId="0" borderId="0" xfId="0" applyNumberFormat="1"/>
    <xf numFmtId="4" fontId="0" fillId="0" borderId="0" xfId="0" applyNumberFormat="1"/>
    <xf numFmtId="3" fontId="0" fillId="0" borderId="0" xfId="0" applyNumberFormat="1"/>
    <xf numFmtId="0" fontId="6" fillId="0" borderId="0" xfId="0" applyFont="1"/>
    <xf numFmtId="41" fontId="0" fillId="2" borderId="0" xfId="0" applyNumberFormat="1" applyFill="1"/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>
      <alignment wrapText="1"/>
    </xf>
    <xf numFmtId="0" fontId="0" fillId="3" borderId="0" xfId="0" applyFill="1"/>
    <xf numFmtId="9" fontId="0" fillId="3" borderId="0" xfId="0" applyNumberFormat="1" applyFill="1"/>
    <xf numFmtId="0" fontId="0" fillId="4" borderId="0" xfId="0" applyFill="1"/>
    <xf numFmtId="42" fontId="0" fillId="4" borderId="0" xfId="0" applyNumberFormat="1" applyFill="1"/>
    <xf numFmtId="0" fontId="3" fillId="0" borderId="0" xfId="0" applyFont="1" applyAlignment="1">
      <alignment horizontal="center"/>
    </xf>
    <xf numFmtId="0" fontId="0" fillId="5" borderId="0" xfId="0" applyFill="1" applyAlignment="1">
      <alignment vertical="center" wrapText="1"/>
    </xf>
    <xf numFmtId="9" fontId="0" fillId="0" borderId="0" xfId="0" applyNumberFormat="1" applyAlignment="1">
      <alignment wrapText="1"/>
    </xf>
    <xf numFmtId="0" fontId="3" fillId="0" borderId="0" xfId="0" applyFont="1" applyAlignment="1">
      <alignment horizontal="center" wrapText="1"/>
    </xf>
    <xf numFmtId="9" fontId="0" fillId="0" borderId="0" xfId="0" applyNumberFormat="1" applyAlignment="1">
      <alignment horizontal="right"/>
    </xf>
    <xf numFmtId="9" fontId="3" fillId="0" borderId="0" xfId="0" applyNumberFormat="1" applyFont="1" applyAlignment="1">
      <alignment horizontal="center" wrapText="1"/>
    </xf>
    <xf numFmtId="0" fontId="0" fillId="2" borderId="0" xfId="0" applyFill="1" applyAlignment="1">
      <alignment wrapText="1"/>
    </xf>
    <xf numFmtId="9" fontId="0" fillId="0" borderId="0" xfId="0" applyNumberFormat="1" applyAlignment="1"/>
    <xf numFmtId="164" fontId="0" fillId="2" borderId="0" xfId="0" applyNumberFormat="1" applyFill="1"/>
    <xf numFmtId="3" fontId="0" fillId="4" borderId="0" xfId="0" applyNumberFormat="1" applyFill="1"/>
    <xf numFmtId="0" fontId="3" fillId="0" borderId="0" xfId="0" applyFont="1" applyAlignment="1">
      <alignment horizontal="center"/>
    </xf>
  </cellXfs>
  <cellStyles count="7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7" workbookViewId="0">
      <selection activeCell="E18" sqref="E18"/>
    </sheetView>
  </sheetViews>
  <sheetFormatPr baseColWidth="10" defaultRowHeight="15" x14ac:dyDescent="0"/>
  <cols>
    <col min="1" max="1" width="20.1640625" style="22" customWidth="1"/>
    <col min="2" max="2" width="49.33203125" style="22" customWidth="1"/>
    <col min="3" max="3" width="13.1640625" style="29" customWidth="1"/>
    <col min="4" max="4" width="56.33203125" style="22" customWidth="1"/>
    <col min="5" max="6" width="11.5" style="22" customWidth="1"/>
    <col min="7" max="7" width="24.83203125" style="22" customWidth="1"/>
    <col min="8" max="8" width="2.6640625" style="33" customWidth="1"/>
    <col min="9" max="9" width="14.33203125" style="22" customWidth="1"/>
    <col min="10" max="10" width="6.5" style="22" customWidth="1"/>
    <col min="11" max="16384" width="10.83203125" style="22"/>
  </cols>
  <sheetData>
    <row r="1" spans="1:7" ht="30">
      <c r="A1" s="22" t="s">
        <v>261</v>
      </c>
      <c r="B1" s="29">
        <f>C8+C9</f>
        <v>0.48</v>
      </c>
      <c r="C1" s="34" t="s">
        <v>263</v>
      </c>
    </row>
    <row r="2" spans="1:7" ht="30">
      <c r="A2" s="22" t="s">
        <v>262</v>
      </c>
      <c r="B2" s="29">
        <f>100%-B1</f>
        <v>0.52</v>
      </c>
      <c r="C2" s="18" t="s">
        <v>274</v>
      </c>
    </row>
    <row r="3" spans="1:7">
      <c r="B3" s="29"/>
      <c r="C3" s="18"/>
    </row>
    <row r="4" spans="1:7">
      <c r="B4" s="29"/>
      <c r="C4" s="18"/>
    </row>
    <row r="5" spans="1:7">
      <c r="B5" s="29"/>
      <c r="C5" s="18"/>
    </row>
    <row r="7" spans="1:7" ht="45">
      <c r="A7" s="30" t="s">
        <v>258</v>
      </c>
      <c r="B7" s="30" t="s">
        <v>201</v>
      </c>
      <c r="C7" s="32" t="s">
        <v>202</v>
      </c>
      <c r="D7" s="30" t="s">
        <v>203</v>
      </c>
      <c r="E7" s="30" t="s">
        <v>249</v>
      </c>
      <c r="F7" s="30" t="s">
        <v>246</v>
      </c>
      <c r="G7" s="30" t="s">
        <v>245</v>
      </c>
    </row>
    <row r="8" spans="1:7" ht="60">
      <c r="A8" s="22" t="s">
        <v>259</v>
      </c>
      <c r="B8" s="22" t="s">
        <v>204</v>
      </c>
      <c r="C8" s="29">
        <v>0.36</v>
      </c>
      <c r="D8" s="22" t="s">
        <v>205</v>
      </c>
      <c r="E8" s="22" t="s">
        <v>187</v>
      </c>
      <c r="F8" s="22" t="s">
        <v>247</v>
      </c>
      <c r="G8" s="22" t="s">
        <v>248</v>
      </c>
    </row>
    <row r="9" spans="1:7" ht="45">
      <c r="A9" s="22" t="s">
        <v>259</v>
      </c>
      <c r="B9" s="22" t="s">
        <v>206</v>
      </c>
      <c r="C9" s="29">
        <v>0.12</v>
      </c>
      <c r="D9" s="22" t="s">
        <v>275</v>
      </c>
      <c r="E9" s="22" t="s">
        <v>187</v>
      </c>
      <c r="F9" s="22" t="s">
        <v>247</v>
      </c>
      <c r="G9" s="22" t="s">
        <v>248</v>
      </c>
    </row>
    <row r="10" spans="1:7" ht="45">
      <c r="A10" s="22" t="s">
        <v>260</v>
      </c>
      <c r="B10" s="22" t="s">
        <v>250</v>
      </c>
      <c r="C10" s="29">
        <f>'Four country summary'!H10*'Overall DFID spending summary'!B$2</f>
        <v>0.19448684738605651</v>
      </c>
      <c r="D10" s="22" t="s">
        <v>256</v>
      </c>
      <c r="E10" s="22" t="str">
        <f>TEXT('Four country summary'!I10*'Overall DFID spending summary'!B$2,"0%")&amp;" to "&amp;TEXT('Four country summary'!J10*'Overall DFID spending summary'!B$2,"0%")</f>
        <v>9% to 30%</v>
      </c>
      <c r="F10" s="22" t="s">
        <v>253</v>
      </c>
      <c r="G10" s="22" t="s">
        <v>254</v>
      </c>
    </row>
    <row r="11" spans="1:7" ht="45">
      <c r="A11" s="22" t="s">
        <v>260</v>
      </c>
      <c r="B11" s="22" t="s">
        <v>255</v>
      </c>
      <c r="C11" s="29">
        <f>'Four country summary'!H11*'Overall DFID spending summary'!B$2</f>
        <v>0.10023624676930347</v>
      </c>
      <c r="D11" s="22" t="s">
        <v>257</v>
      </c>
      <c r="E11" s="22" t="str">
        <f>TEXT('Four country summary'!I11*'Overall DFID spending summary'!B$2,"0%")&amp;" to "&amp;TEXT('Four country summary'!J11*'Overall DFID spending summary'!B$2,"0%")</f>
        <v>5% to 24%</v>
      </c>
      <c r="F11" s="22" t="s">
        <v>253</v>
      </c>
      <c r="G11" s="22" t="s">
        <v>254</v>
      </c>
    </row>
    <row r="12" spans="1:7" ht="45">
      <c r="A12" s="22" t="s">
        <v>260</v>
      </c>
      <c r="B12" s="22" t="s">
        <v>267</v>
      </c>
      <c r="C12" s="29">
        <f>'Four country summary'!H12*'Overall DFID spending summary'!B$2</f>
        <v>5.4423281289438623E-2</v>
      </c>
      <c r="D12" s="22" t="s">
        <v>264</v>
      </c>
      <c r="E12" s="22" t="str">
        <f>TEXT('Four country summary'!I12*'Overall DFID spending summary'!B$2,"0%")&amp;" to "&amp;TEXT('Four country summary'!J12*'Overall DFID spending summary'!B$2,"0%")</f>
        <v>1% to 12%</v>
      </c>
      <c r="F12" s="22" t="s">
        <v>253</v>
      </c>
      <c r="G12" s="22" t="s">
        <v>254</v>
      </c>
    </row>
    <row r="13" spans="1:7" ht="45">
      <c r="A13" s="22" t="s">
        <v>260</v>
      </c>
      <c r="B13" s="22" t="s">
        <v>266</v>
      </c>
      <c r="C13" s="29">
        <f>'Four country summary'!H13*'Overall DFID spending summary'!B$2</f>
        <v>5.0931385365352216E-2</v>
      </c>
      <c r="D13" s="22" t="s">
        <v>265</v>
      </c>
      <c r="E13" s="22" t="str">
        <f>TEXT('Four country summary'!I13*'Overall DFID spending summary'!B$2,"0%")&amp;" to "&amp;TEXT('Four country summary'!J13*'Overall DFID spending summary'!B$2,"0%")</f>
        <v>8% to 11%</v>
      </c>
      <c r="F13" s="22" t="s">
        <v>253</v>
      </c>
      <c r="G13" s="22" t="s">
        <v>254</v>
      </c>
    </row>
    <row r="14" spans="1:7" ht="45">
      <c r="A14" s="22" t="s">
        <v>260</v>
      </c>
      <c r="B14" s="22" t="s">
        <v>268</v>
      </c>
      <c r="C14" s="29">
        <f>'Four country summary'!H14*'Overall DFID spending summary'!B$2</f>
        <v>5.006144838932064E-2</v>
      </c>
      <c r="D14" s="22" t="s">
        <v>269</v>
      </c>
      <c r="E14" s="22" t="str">
        <f>TEXT('Four country summary'!I14*'Overall DFID spending summary'!B$2,"0%")&amp;" to "&amp;TEXT('Four country summary'!J14*'Overall DFID spending summary'!B$2,"0%")</f>
        <v>2% to 14%</v>
      </c>
      <c r="F14" s="22" t="s">
        <v>253</v>
      </c>
      <c r="G14" s="22" t="s">
        <v>254</v>
      </c>
    </row>
    <row r="15" spans="1:7" ht="45">
      <c r="A15" s="22" t="s">
        <v>260</v>
      </c>
      <c r="B15" s="22" t="s">
        <v>77</v>
      </c>
      <c r="C15" s="29">
        <f>'Four country summary'!H15*'Overall DFID spending summary'!B$2</f>
        <v>2.2413038508031603E-2</v>
      </c>
      <c r="D15" s="22" t="s">
        <v>270</v>
      </c>
      <c r="E15" s="22" t="str">
        <f>TEXT('Four country summary'!I15*'Overall DFID spending summary'!B$2,"0%")&amp;" to "&amp;TEXT('Four country summary'!J15*'Overall DFID spending summary'!B$2,"0%")</f>
        <v>1% to 4%</v>
      </c>
      <c r="F15" s="22" t="s">
        <v>253</v>
      </c>
      <c r="G15" s="22" t="s">
        <v>254</v>
      </c>
    </row>
    <row r="16" spans="1:7" ht="45">
      <c r="A16" s="22" t="s">
        <v>260</v>
      </c>
      <c r="B16" s="22" t="s">
        <v>4</v>
      </c>
      <c r="C16" s="29">
        <f>'Four country summary'!H16*'Overall DFID spending summary'!B$2</f>
        <v>1.6377392682343297E-2</v>
      </c>
      <c r="D16" s="22" t="s">
        <v>271</v>
      </c>
      <c r="E16" s="22" t="str">
        <f>TEXT('Four country summary'!I16*'Overall DFID spending summary'!B$2,"0%")&amp;" to "&amp;TEXT('Four country summary'!J16*'Overall DFID spending summary'!B$2,"0%")</f>
        <v>1% to 2%</v>
      </c>
      <c r="F16" s="22" t="s">
        <v>253</v>
      </c>
      <c r="G16" s="22" t="s">
        <v>254</v>
      </c>
    </row>
    <row r="17" spans="1:7" ht="45">
      <c r="A17" s="22" t="s">
        <v>260</v>
      </c>
      <c r="B17" s="22" t="s">
        <v>272</v>
      </c>
      <c r="C17" s="29">
        <f>SUM('Four country summary'!H17:H20)*'Overall DFID spending summary'!B2</f>
        <v>3.107035961015359E-2</v>
      </c>
      <c r="D17" s="22" t="s">
        <v>273</v>
      </c>
      <c r="E17" s="22" t="str">
        <f>TEXT(SUM('Four country summary'!I17:I20)*'Overall DFID spending summary'!B$2,"0%")&amp;" to "&amp;TEXT(SUM('Four country summary'!J17:J20)*'Overall DFID spending summary'!B$2,"0%")</f>
        <v>2% to 7%</v>
      </c>
      <c r="F17" s="22" t="s">
        <v>253</v>
      </c>
      <c r="G17" s="22" t="s">
        <v>254</v>
      </c>
    </row>
    <row r="18" spans="1:7">
      <c r="D18" s="1"/>
    </row>
    <row r="19" spans="1:7">
      <c r="D19" s="13"/>
    </row>
    <row r="20" spans="1:7">
      <c r="D20" s="13"/>
    </row>
    <row r="21" spans="1:7">
      <c r="D21" s="1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E9" sqref="E9"/>
    </sheetView>
  </sheetViews>
  <sheetFormatPr baseColWidth="10" defaultRowHeight="15" x14ac:dyDescent="0"/>
  <cols>
    <col min="1" max="1" width="54.1640625" customWidth="1"/>
    <col min="2" max="5" width="18.1640625" customWidth="1"/>
    <col min="6" max="6" width="1.5" customWidth="1"/>
    <col min="7" max="7" width="13" customWidth="1"/>
  </cols>
  <sheetData>
    <row r="1" spans="1:10">
      <c r="A1" t="s">
        <v>185</v>
      </c>
    </row>
    <row r="2" spans="1:10">
      <c r="A2" s="21" t="s">
        <v>186</v>
      </c>
    </row>
    <row r="3" spans="1:10">
      <c r="A3" s="21" t="s">
        <v>199</v>
      </c>
    </row>
    <row r="5" spans="1:10">
      <c r="B5" s="27" t="s">
        <v>179</v>
      </c>
      <c r="C5" s="27" t="s">
        <v>180</v>
      </c>
      <c r="D5" s="27" t="s">
        <v>181</v>
      </c>
      <c r="E5" s="27" t="s">
        <v>182</v>
      </c>
      <c r="G5" s="37" t="s">
        <v>33</v>
      </c>
      <c r="H5" s="37"/>
      <c r="I5" s="37" t="s">
        <v>200</v>
      </c>
      <c r="J5" s="37"/>
    </row>
    <row r="6" spans="1:10">
      <c r="I6" t="s">
        <v>251</v>
      </c>
      <c r="J6" t="s">
        <v>252</v>
      </c>
    </row>
    <row r="7" spans="1:10">
      <c r="A7" s="25" t="s">
        <v>281</v>
      </c>
      <c r="B7" s="26">
        <f>Niger!B44</f>
        <v>282112.28147642658</v>
      </c>
      <c r="C7" s="26">
        <f>Tanzania!B32</f>
        <v>736420.06572716311</v>
      </c>
      <c r="D7" s="26">
        <f>Uganda!B37</f>
        <v>552107.59412236011</v>
      </c>
      <c r="E7" s="26">
        <f>Malawi!B34</f>
        <v>598202.58663660765</v>
      </c>
      <c r="G7" s="8">
        <f>SUM(B7:E7)</f>
        <v>2168842.5279625575</v>
      </c>
      <c r="H7" s="11">
        <f>SUM(H10:H20)</f>
        <v>0.99999999999999989</v>
      </c>
    </row>
    <row r="8" spans="1:10">
      <c r="A8" s="25" t="s">
        <v>183</v>
      </c>
      <c r="B8" s="36">
        <f>COUNT('Exchange rates'!B8:B27)</f>
        <v>20</v>
      </c>
      <c r="C8" s="36">
        <f>COUNT('Exchange rates'!E8:E36)</f>
        <v>29</v>
      </c>
      <c r="D8" s="36">
        <f>COUNT('Exchange rates'!H8:H31)</f>
        <v>24</v>
      </c>
      <c r="E8" s="25">
        <f>COUNT('Exchange rates'!K8:K29)</f>
        <v>22</v>
      </c>
    </row>
    <row r="10" spans="1:10">
      <c r="A10" s="23" t="s">
        <v>3</v>
      </c>
      <c r="B10" s="24">
        <f>Niger!C28</f>
        <v>0.26554908385010068</v>
      </c>
      <c r="C10" s="24">
        <f>Tanzania!C22</f>
        <v>0.5814593210600898</v>
      </c>
      <c r="D10" s="24">
        <f>Uganda!C34+Uganda!C33</f>
        <v>0.17991312870850243</v>
      </c>
      <c r="E10" s="24">
        <f>Malawi!C26</f>
        <v>0.34893077292548352</v>
      </c>
      <c r="G10" s="8">
        <f>SUMPRODUCT(B$7:E$7,B10:E10)</f>
        <v>811175.66488508251</v>
      </c>
      <c r="H10" s="11">
        <f>G10/G$7</f>
        <v>0.37401316805010865</v>
      </c>
      <c r="I10" s="31">
        <f>MIN(B10:E10)</f>
        <v>0.17991312870850243</v>
      </c>
      <c r="J10" s="11">
        <f>MAX(B10:E10)</f>
        <v>0.5814593210600898</v>
      </c>
    </row>
    <row r="11" spans="1:10">
      <c r="A11" s="23" t="s">
        <v>6</v>
      </c>
      <c r="B11" s="24">
        <f>Niger!C39</f>
        <v>0.46833352824860081</v>
      </c>
      <c r="C11" s="24">
        <f>Tanzania!C26</f>
        <v>0.14797934252838932</v>
      </c>
      <c r="D11" s="24">
        <f>Uganda!C24</f>
        <v>0.20907317135493322</v>
      </c>
      <c r="E11" s="24">
        <f>Malawi!C27</f>
        <v>0.10287813870122833</v>
      </c>
      <c r="G11" s="8">
        <f t="shared" ref="G11:G20" si="0">SUMPRODUCT(B$7:E$7,B11:E11)</f>
        <v>418070.45160887472</v>
      </c>
      <c r="H11" s="11">
        <f t="shared" ref="H11:H20" si="1">G11/G$7</f>
        <v>0.19276201301789128</v>
      </c>
      <c r="I11" s="31">
        <f t="shared" ref="I11:I20" si="2">MIN(B11:E11)</f>
        <v>0.10287813870122833</v>
      </c>
      <c r="J11" s="11">
        <f t="shared" ref="J11:J20" si="3">MAX(B11:E11)</f>
        <v>0.46833352824860081</v>
      </c>
    </row>
    <row r="12" spans="1:10">
      <c r="A12" s="23" t="s">
        <v>184</v>
      </c>
      <c r="B12" s="24">
        <f>Niger!C38</f>
        <v>0.13213188359251368</v>
      </c>
      <c r="C12" s="24">
        <f>Tanzania!C27</f>
        <v>6.7008035222135179E-2</v>
      </c>
      <c r="D12" s="24">
        <f>Uganda!C26+Uganda!C32</f>
        <v>1.2506588515094702E-2</v>
      </c>
      <c r="E12" s="24">
        <f>Malawi!C24</f>
        <v>0.22310890937259212</v>
      </c>
      <c r="G12" s="8">
        <f t="shared" si="0"/>
        <v>226991.39802269885</v>
      </c>
      <c r="H12" s="11">
        <f t="shared" si="1"/>
        <v>0.1046601563258435</v>
      </c>
      <c r="I12" s="31">
        <f t="shared" si="2"/>
        <v>1.2506588515094702E-2</v>
      </c>
      <c r="J12" s="11">
        <f t="shared" si="3"/>
        <v>0.22310890937259212</v>
      </c>
    </row>
    <row r="13" spans="1:10">
      <c r="A13" s="23" t="s">
        <v>88</v>
      </c>
      <c r="B13" s="23" t="s">
        <v>187</v>
      </c>
      <c r="C13" s="23" t="s">
        <v>187</v>
      </c>
      <c r="D13" s="24">
        <f>Uganda!C25</f>
        <v>0.21983672217848302</v>
      </c>
      <c r="E13" s="24">
        <f>Malawi!C25</f>
        <v>0.15221214119550758</v>
      </c>
      <c r="G13" s="8">
        <f t="shared" si="0"/>
        <v>212427.22036235713</v>
      </c>
      <c r="H13" s="11">
        <f t="shared" si="1"/>
        <v>9.7944971856446572E-2</v>
      </c>
      <c r="I13" s="31">
        <f t="shared" si="2"/>
        <v>0.15221214119550758</v>
      </c>
      <c r="J13" s="11">
        <f t="shared" si="3"/>
        <v>0.21983672217848302</v>
      </c>
    </row>
    <row r="14" spans="1:10">
      <c r="A14" s="23" t="s">
        <v>78</v>
      </c>
      <c r="B14" s="24">
        <f>Niger!C41</f>
        <v>4.2880955700742247E-2</v>
      </c>
      <c r="C14" s="24">
        <f>Tanzania!C30</f>
        <v>5.8995744058949015E-2</v>
      </c>
      <c r="D14" s="24">
        <f>Uganda!C28</f>
        <v>0.27758348284286155</v>
      </c>
      <c r="E14" s="23" t="s">
        <v>187</v>
      </c>
      <c r="G14" s="8">
        <f t="shared" si="0"/>
        <v>208798.84284261783</v>
      </c>
      <c r="H14" s="11">
        <f t="shared" si="1"/>
        <v>9.6272016133308921E-2</v>
      </c>
      <c r="I14" s="31">
        <f t="shared" si="2"/>
        <v>4.2880955700742247E-2</v>
      </c>
      <c r="J14" s="11">
        <f t="shared" si="3"/>
        <v>0.27758348284286155</v>
      </c>
    </row>
    <row r="15" spans="1:10">
      <c r="A15" s="23" t="s">
        <v>77</v>
      </c>
      <c r="B15" s="23" t="s">
        <v>187</v>
      </c>
      <c r="C15" s="24">
        <f>Tanzania!C28</f>
        <v>7.5220079415040608E-2</v>
      </c>
      <c r="D15" s="24">
        <f>Uganda!C27</f>
        <v>2.1471221797275085E-2</v>
      </c>
      <c r="E15" s="24">
        <f>Malawi!C28</f>
        <v>4.3853778915891914E-2</v>
      </c>
      <c r="G15" s="8">
        <f>SUMPRODUCT(B$7:E$7,B15:E15)</f>
        <v>93481.444417464241</v>
      </c>
      <c r="H15" s="11">
        <f>G15/G$7</f>
        <v>4.3101997130830003E-2</v>
      </c>
      <c r="I15" s="31">
        <f t="shared" si="2"/>
        <v>2.1471221797275085E-2</v>
      </c>
      <c r="J15" s="11">
        <f t="shared" si="3"/>
        <v>7.5220079415040608E-2</v>
      </c>
    </row>
    <row r="16" spans="1:10">
      <c r="A16" s="23" t="s">
        <v>4</v>
      </c>
      <c r="B16" s="24">
        <f>Niger!C37</f>
        <v>4.3382703029910992E-2</v>
      </c>
      <c r="C16" s="24">
        <f>Tanzania!C25</f>
        <v>2.4997270281708957E-2</v>
      </c>
      <c r="D16" s="24">
        <f>Uganda!C31</f>
        <v>2.2619517396659419E-2</v>
      </c>
      <c r="E16" s="24">
        <f>Malawi!C23</f>
        <v>4.2079344652348381E-2</v>
      </c>
      <c r="G16" s="8">
        <f t="shared" si="0"/>
        <v>68307.664897324852</v>
      </c>
      <c r="H16" s="11">
        <f t="shared" si="1"/>
        <v>3.1494985927583263E-2</v>
      </c>
      <c r="I16" s="31">
        <f t="shared" si="2"/>
        <v>2.2619517396659419E-2</v>
      </c>
      <c r="J16" s="11">
        <f t="shared" si="3"/>
        <v>4.3382703029910992E-2</v>
      </c>
    </row>
    <row r="17" spans="1:10">
      <c r="A17" s="23" t="s">
        <v>7</v>
      </c>
      <c r="B17" s="24">
        <f>Niger!C42</f>
        <v>3.2720223671565886E-2</v>
      </c>
      <c r="C17" s="24">
        <f>Tanzania!C23</f>
        <v>3.4662447693221209E-2</v>
      </c>
      <c r="D17" s="23" t="s">
        <v>187</v>
      </c>
      <c r="E17" s="24">
        <f>Malawi!C31</f>
        <v>2.8304123362997095E-3</v>
      </c>
      <c r="G17" s="8">
        <f>SUMPRODUCT(B$7:E$7,B17:E17)</f>
        <v>36450.058939733397</v>
      </c>
      <c r="H17" s="11">
        <f>G17/G$7</f>
        <v>1.6806226579287487E-2</v>
      </c>
      <c r="I17" s="31">
        <f t="shared" si="2"/>
        <v>2.8304123362997095E-3</v>
      </c>
      <c r="J17" s="11">
        <f t="shared" si="3"/>
        <v>3.4662447693221209E-2</v>
      </c>
    </row>
    <row r="18" spans="1:10">
      <c r="A18" s="23" t="s">
        <v>18</v>
      </c>
      <c r="B18" s="23" t="s">
        <v>187</v>
      </c>
      <c r="C18" s="24">
        <f>Tanzania!C24</f>
        <v>4.4539934603177213E-3</v>
      </c>
      <c r="D18" s="24">
        <f>Uganda!C29</f>
        <v>7.4060388417513416E-3</v>
      </c>
      <c r="E18" s="24">
        <f>Malawi!C29</f>
        <v>3.6616192356530838E-2</v>
      </c>
      <c r="G18" s="8">
        <f>SUMPRODUCT(B$7:E$7,B18:E18)</f>
        <v>29272.841424151942</v>
      </c>
      <c r="H18" s="11">
        <f>G18/G$7</f>
        <v>1.3496987931000818E-2</v>
      </c>
      <c r="I18" s="31">
        <f t="shared" si="2"/>
        <v>4.4539934603177213E-3</v>
      </c>
      <c r="J18" s="11">
        <f t="shared" si="3"/>
        <v>3.6616192356530838E-2</v>
      </c>
    </row>
    <row r="19" spans="1:10">
      <c r="A19" s="23" t="s">
        <v>21</v>
      </c>
      <c r="B19" s="24">
        <f>Niger!C40</f>
        <v>1.5001621906565574E-2</v>
      </c>
      <c r="C19" s="24">
        <f>Tanzania!C29</f>
        <v>5.2237662801481307E-3</v>
      </c>
      <c r="D19" s="24">
        <f>Uganda!C30</f>
        <v>2.6982572864298844E-2</v>
      </c>
      <c r="E19" s="24">
        <f>Malawi!C30</f>
        <v>6.5330953010170108E-3</v>
      </c>
      <c r="G19" s="8">
        <f t="shared" si="0"/>
        <v>26884.425984429137</v>
      </c>
      <c r="H19" s="11">
        <f t="shared" si="1"/>
        <v>1.2395748256414338E-2</v>
      </c>
      <c r="I19" s="31">
        <f t="shared" si="2"/>
        <v>5.2237662801481307E-3</v>
      </c>
      <c r="J19" s="11">
        <f t="shared" si="3"/>
        <v>2.6982572864298844E-2</v>
      </c>
    </row>
    <row r="20" spans="1:10">
      <c r="A20" s="23" t="s">
        <v>188</v>
      </c>
      <c r="B20" s="23" t="s">
        <v>187</v>
      </c>
      <c r="C20" s="23" t="s">
        <v>187</v>
      </c>
      <c r="D20" s="24">
        <f>Uganda!C35</f>
        <v>2.2607555500140208E-2</v>
      </c>
      <c r="E20" s="24">
        <f>Malawi!C32</f>
        <v>4.0957214243100462E-2</v>
      </c>
      <c r="G20" s="8">
        <f t="shared" si="0"/>
        <v>36982.514577822541</v>
      </c>
      <c r="H20" s="11">
        <f t="shared" si="1"/>
        <v>1.7051728791285026E-2</v>
      </c>
      <c r="I20" s="31">
        <f t="shared" si="2"/>
        <v>2.2607555500140208E-2</v>
      </c>
      <c r="J20" s="11">
        <f t="shared" si="3"/>
        <v>4.0957214243100462E-2</v>
      </c>
    </row>
    <row r="21" spans="1:10">
      <c r="A21" s="23"/>
      <c r="B21" s="23"/>
      <c r="C21" s="23"/>
      <c r="D21" s="23"/>
      <c r="E21" s="23"/>
    </row>
    <row r="22" spans="1:10">
      <c r="A22" s="23"/>
      <c r="B22" s="24">
        <f>SUM(B10:B20)</f>
        <v>0.99999999999999989</v>
      </c>
      <c r="C22" s="24">
        <f>SUM(C10:C20)</f>
        <v>0.99999999999999989</v>
      </c>
      <c r="D22" s="24">
        <f>SUM(D10:D20)</f>
        <v>1</v>
      </c>
      <c r="E22" s="24">
        <f>SUM(E10:E20)</f>
        <v>0.99999999999999989</v>
      </c>
    </row>
    <row r="24" spans="1:10" ht="75">
      <c r="A24" s="28" t="s">
        <v>191</v>
      </c>
      <c r="B24" s="28" t="s">
        <v>193</v>
      </c>
      <c r="C24" s="28" t="s">
        <v>190</v>
      </c>
      <c r="D24" s="28" t="s">
        <v>192</v>
      </c>
      <c r="E24" s="28" t="s">
        <v>198</v>
      </c>
    </row>
    <row r="25" spans="1:10" ht="75">
      <c r="A25" s="28" t="s">
        <v>189</v>
      </c>
      <c r="B25" s="28" t="s">
        <v>194</v>
      </c>
      <c r="C25" s="28" t="s">
        <v>195</v>
      </c>
      <c r="D25" s="28" t="s">
        <v>196</v>
      </c>
      <c r="E25" s="28" t="s">
        <v>197</v>
      </c>
    </row>
  </sheetData>
  <mergeCells count="2">
    <mergeCell ref="G5:H5"/>
    <mergeCell ref="I5:J5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O1" sqref="L1:O1048576"/>
    </sheetView>
  </sheetViews>
  <sheetFormatPr baseColWidth="10" defaultRowHeight="15" x14ac:dyDescent="0"/>
  <cols>
    <col min="1" max="1" width="26.5" customWidth="1"/>
    <col min="2" max="2" width="11.5" bestFit="1" customWidth="1"/>
    <col min="3" max="3" width="12.6640625" customWidth="1"/>
    <col min="4" max="5" width="15.1640625" customWidth="1"/>
    <col min="6" max="6" width="2.33203125" style="5" customWidth="1"/>
    <col min="8" max="8" width="33.1640625" customWidth="1"/>
    <col min="9" max="9" width="22.1640625" customWidth="1"/>
    <col min="10" max="10" width="15" customWidth="1"/>
    <col min="11" max="11" width="2" style="5" customWidth="1"/>
    <col min="15" max="15" width="11.5" bestFit="1" customWidth="1"/>
  </cols>
  <sheetData>
    <row r="1" spans="1:11">
      <c r="A1" s="3" t="s">
        <v>37</v>
      </c>
      <c r="G1" s="3" t="s">
        <v>276</v>
      </c>
    </row>
    <row r="2" spans="1:11">
      <c r="B2" t="s">
        <v>40</v>
      </c>
      <c r="C2" t="s">
        <v>1</v>
      </c>
      <c r="D2" t="s">
        <v>41</v>
      </c>
      <c r="E2" t="s">
        <v>208</v>
      </c>
      <c r="F2" s="5" t="s">
        <v>279</v>
      </c>
      <c r="G2" s="3"/>
    </row>
    <row r="3" spans="1:11">
      <c r="B3" s="4" t="s">
        <v>39</v>
      </c>
      <c r="G3" s="19" t="s">
        <v>32</v>
      </c>
      <c r="H3" s="19" t="s">
        <v>8</v>
      </c>
      <c r="I3" s="19" t="s">
        <v>9</v>
      </c>
      <c r="J3" s="19" t="s">
        <v>10</v>
      </c>
    </row>
    <row r="4" spans="1:11">
      <c r="A4" t="s">
        <v>3</v>
      </c>
      <c r="D4" s="3"/>
      <c r="E4" s="3"/>
      <c r="J4" s="1"/>
    </row>
    <row r="5" spans="1:11">
      <c r="A5" s="9" t="s">
        <v>34</v>
      </c>
      <c r="B5" s="4">
        <f>J5</f>
        <v>845000</v>
      </c>
      <c r="C5" s="4">
        <f>J17</f>
        <v>27500</v>
      </c>
      <c r="D5" s="4">
        <f>J31</f>
        <v>4900000</v>
      </c>
      <c r="E5" s="4" t="s">
        <v>213</v>
      </c>
      <c r="F5" s="5" t="s">
        <v>279</v>
      </c>
      <c r="G5" t="s">
        <v>0</v>
      </c>
      <c r="H5" t="s">
        <v>11</v>
      </c>
      <c r="I5" t="s">
        <v>3</v>
      </c>
      <c r="J5" s="1">
        <v>845000</v>
      </c>
    </row>
    <row r="6" spans="1:11">
      <c r="A6" s="9" t="s">
        <v>29</v>
      </c>
      <c r="B6" s="4">
        <f>J10</f>
        <v>1200</v>
      </c>
      <c r="C6" s="4">
        <v>0</v>
      </c>
      <c r="D6" s="4">
        <v>0</v>
      </c>
      <c r="E6" s="4"/>
      <c r="F6" s="5" t="s">
        <v>279</v>
      </c>
      <c r="G6" t="s">
        <v>0</v>
      </c>
      <c r="H6" t="s">
        <v>12</v>
      </c>
      <c r="I6" t="s">
        <v>13</v>
      </c>
      <c r="J6" s="1">
        <v>89640</v>
      </c>
    </row>
    <row r="7" spans="1:11">
      <c r="A7" s="9" t="s">
        <v>18</v>
      </c>
      <c r="B7" s="4">
        <f>J11</f>
        <v>1047200</v>
      </c>
      <c r="C7" s="4">
        <f>J25</f>
        <v>662680</v>
      </c>
      <c r="D7" s="4">
        <v>0</v>
      </c>
      <c r="E7" s="4" t="s">
        <v>213</v>
      </c>
      <c r="F7" s="5" t="s">
        <v>279</v>
      </c>
      <c r="G7" t="s">
        <v>0</v>
      </c>
      <c r="H7" t="s">
        <v>14</v>
      </c>
      <c r="I7" t="s">
        <v>5</v>
      </c>
      <c r="J7" s="1">
        <v>5555800</v>
      </c>
    </row>
    <row r="8" spans="1:11">
      <c r="A8" s="9" t="s">
        <v>30</v>
      </c>
      <c r="B8" s="4">
        <f>J13</f>
        <v>2434960</v>
      </c>
      <c r="C8" s="4">
        <v>0</v>
      </c>
      <c r="D8" s="4">
        <v>0</v>
      </c>
      <c r="E8" s="4" t="s">
        <v>213</v>
      </c>
      <c r="F8" s="5" t="s">
        <v>279</v>
      </c>
      <c r="G8" t="s">
        <v>0</v>
      </c>
      <c r="H8" t="s">
        <v>15</v>
      </c>
      <c r="I8" t="s">
        <v>16</v>
      </c>
      <c r="J8" s="1">
        <v>32209957</v>
      </c>
    </row>
    <row r="9" spans="1:11">
      <c r="A9" s="9" t="s">
        <v>31</v>
      </c>
      <c r="B9" s="4">
        <f>J12</f>
        <v>1755250</v>
      </c>
      <c r="C9" s="4">
        <f>J28</f>
        <v>4404500</v>
      </c>
      <c r="D9" s="4">
        <v>0</v>
      </c>
      <c r="E9" s="4" t="s">
        <v>214</v>
      </c>
      <c r="F9" s="5" t="s">
        <v>279</v>
      </c>
      <c r="G9" t="s">
        <v>0</v>
      </c>
      <c r="H9" t="s">
        <v>15</v>
      </c>
      <c r="I9" t="s">
        <v>13</v>
      </c>
      <c r="J9" s="1">
        <v>22780</v>
      </c>
    </row>
    <row r="10" spans="1:11">
      <c r="A10" s="9" t="s">
        <v>43</v>
      </c>
      <c r="B10" s="4">
        <v>0</v>
      </c>
      <c r="C10" s="4">
        <v>0</v>
      </c>
      <c r="D10" s="4">
        <f>J34</f>
        <v>16246440</v>
      </c>
      <c r="E10" s="4" t="s">
        <v>215</v>
      </c>
      <c r="F10" s="5" t="s">
        <v>279</v>
      </c>
      <c r="G10" t="s">
        <v>0</v>
      </c>
      <c r="H10" t="s">
        <v>17</v>
      </c>
      <c r="I10" t="s">
        <v>3</v>
      </c>
      <c r="J10" s="1">
        <v>1200</v>
      </c>
    </row>
    <row r="11" spans="1:11">
      <c r="A11" s="9" t="s">
        <v>44</v>
      </c>
      <c r="B11" s="4">
        <v>0</v>
      </c>
      <c r="C11" s="4">
        <v>0</v>
      </c>
      <c r="D11" s="4">
        <f>J36</f>
        <v>5000000</v>
      </c>
      <c r="E11" s="4" t="s">
        <v>212</v>
      </c>
      <c r="F11" s="5" t="s">
        <v>279</v>
      </c>
      <c r="G11" t="s">
        <v>0</v>
      </c>
      <c r="H11" t="s">
        <v>18</v>
      </c>
      <c r="I11" t="s">
        <v>3</v>
      </c>
      <c r="J11" s="1">
        <v>1047200</v>
      </c>
    </row>
    <row r="12" spans="1:11">
      <c r="A12" s="9"/>
      <c r="B12" s="4"/>
      <c r="C12" s="4"/>
      <c r="D12" s="4"/>
      <c r="E12" s="4"/>
      <c r="F12" s="5" t="s">
        <v>279</v>
      </c>
      <c r="G12" t="s">
        <v>0</v>
      </c>
      <c r="H12" t="s">
        <v>7</v>
      </c>
      <c r="I12" t="s">
        <v>3</v>
      </c>
      <c r="J12" s="1">
        <v>1755250</v>
      </c>
      <c r="K12" s="35"/>
    </row>
    <row r="13" spans="1:11">
      <c r="A13" t="s">
        <v>4</v>
      </c>
      <c r="B13" s="1">
        <f>J6+J9</f>
        <v>112420</v>
      </c>
      <c r="C13" s="1">
        <f>J18</f>
        <v>5976014</v>
      </c>
      <c r="D13" s="1">
        <f>J32</f>
        <v>9300</v>
      </c>
      <c r="E13" s="1" t="s">
        <v>207</v>
      </c>
      <c r="F13" s="5" t="s">
        <v>279</v>
      </c>
      <c r="G13" t="s">
        <v>0</v>
      </c>
      <c r="H13" t="s">
        <v>19</v>
      </c>
      <c r="I13" t="s">
        <v>3</v>
      </c>
      <c r="J13" s="1">
        <v>2434960</v>
      </c>
    </row>
    <row r="14" spans="1:11">
      <c r="A14" t="s">
        <v>5</v>
      </c>
      <c r="B14" s="1">
        <f>J7</f>
        <v>5555800</v>
      </c>
      <c r="C14" s="1">
        <f>J19+J20+J26</f>
        <v>9641028</v>
      </c>
      <c r="D14" s="1">
        <f>J33</f>
        <v>3375207</v>
      </c>
      <c r="E14" s="1" t="s">
        <v>211</v>
      </c>
      <c r="F14" s="5" t="s">
        <v>279</v>
      </c>
    </row>
    <row r="15" spans="1:11">
      <c r="A15" t="s">
        <v>6</v>
      </c>
      <c r="B15" s="1">
        <f>J8</f>
        <v>32209957</v>
      </c>
      <c r="C15" s="1">
        <f>J22</f>
        <v>29030638</v>
      </c>
      <c r="D15" s="1">
        <f>J35</f>
        <v>4586868</v>
      </c>
      <c r="E15" s="1" t="s">
        <v>210</v>
      </c>
      <c r="F15" s="5" t="s">
        <v>279</v>
      </c>
      <c r="G15" t="s">
        <v>1</v>
      </c>
      <c r="H15" t="s">
        <v>20</v>
      </c>
      <c r="I15" t="s">
        <v>21</v>
      </c>
      <c r="J15" s="1">
        <v>1323000</v>
      </c>
    </row>
    <row r="16" spans="1:11">
      <c r="A16" t="s">
        <v>21</v>
      </c>
      <c r="B16" s="1">
        <v>0</v>
      </c>
      <c r="C16" s="1">
        <f>J15+J21</f>
        <v>2108580</v>
      </c>
      <c r="D16" s="1">
        <v>0</v>
      </c>
      <c r="E16" s="1" t="s">
        <v>209</v>
      </c>
      <c r="F16" s="5" t="s">
        <v>279</v>
      </c>
      <c r="G16" t="s">
        <v>1</v>
      </c>
      <c r="H16" t="s">
        <v>20</v>
      </c>
      <c r="I16" t="s">
        <v>22</v>
      </c>
      <c r="J16" s="1">
        <v>1035000</v>
      </c>
    </row>
    <row r="17" spans="1:11">
      <c r="A17" t="s">
        <v>35</v>
      </c>
      <c r="B17" s="1">
        <v>0</v>
      </c>
      <c r="C17" s="1">
        <f>J16+J23+J24+J29</f>
        <v>6020070</v>
      </c>
      <c r="D17" s="1">
        <f>J37</f>
        <v>7140</v>
      </c>
      <c r="E17" s="1" t="s">
        <v>216</v>
      </c>
      <c r="F17" s="5" t="s">
        <v>279</v>
      </c>
      <c r="G17" t="s">
        <v>1</v>
      </c>
      <c r="H17" t="s">
        <v>11</v>
      </c>
      <c r="I17" t="s">
        <v>3</v>
      </c>
      <c r="J17" s="1">
        <v>27500</v>
      </c>
    </row>
    <row r="18" spans="1:11">
      <c r="A18" t="s">
        <v>7</v>
      </c>
      <c r="B18" s="1">
        <v>0</v>
      </c>
      <c r="C18" s="1">
        <f>J27</f>
        <v>1587481</v>
      </c>
      <c r="D18" s="1">
        <f>J38</f>
        <v>3011569</v>
      </c>
      <c r="E18" s="1" t="s">
        <v>217</v>
      </c>
      <c r="F18" s="5" t="s">
        <v>279</v>
      </c>
      <c r="G18" t="s">
        <v>1</v>
      </c>
      <c r="H18" t="s">
        <v>23</v>
      </c>
      <c r="I18" t="s">
        <v>13</v>
      </c>
      <c r="J18" s="1">
        <v>5976014</v>
      </c>
    </row>
    <row r="19" spans="1:11">
      <c r="G19" t="s">
        <v>1</v>
      </c>
      <c r="H19" t="s">
        <v>14</v>
      </c>
      <c r="I19" t="s">
        <v>5</v>
      </c>
      <c r="J19" s="1">
        <v>8954438</v>
      </c>
    </row>
    <row r="20" spans="1:11">
      <c r="A20" t="s">
        <v>33</v>
      </c>
      <c r="B20" s="1">
        <f>SUM(B5:B18)</f>
        <v>43961787</v>
      </c>
      <c r="C20" s="1">
        <f>SUM(C5:C18)</f>
        <v>59458491</v>
      </c>
      <c r="D20" s="1">
        <f>SUM(D5:D18)</f>
        <v>37136524</v>
      </c>
      <c r="E20" s="1"/>
      <c r="G20" t="s">
        <v>1</v>
      </c>
      <c r="H20" t="s">
        <v>24</v>
      </c>
      <c r="I20" t="s">
        <v>5</v>
      </c>
      <c r="J20" s="1">
        <v>77110</v>
      </c>
    </row>
    <row r="21" spans="1:11">
      <c r="G21" t="s">
        <v>1</v>
      </c>
      <c r="H21" t="s">
        <v>25</v>
      </c>
      <c r="I21" t="s">
        <v>21</v>
      </c>
      <c r="J21" s="1">
        <v>785580</v>
      </c>
    </row>
    <row r="22" spans="1:11">
      <c r="A22" s="5"/>
      <c r="B22" s="5"/>
      <c r="C22" s="5"/>
      <c r="D22" s="5"/>
      <c r="E22" s="5"/>
      <c r="G22" t="s">
        <v>1</v>
      </c>
      <c r="H22" t="s">
        <v>15</v>
      </c>
      <c r="I22" t="s">
        <v>16</v>
      </c>
      <c r="J22" s="1">
        <v>29030638</v>
      </c>
    </row>
    <row r="23" spans="1:11">
      <c r="G23" t="s">
        <v>1</v>
      </c>
      <c r="H23" t="s">
        <v>15</v>
      </c>
      <c r="I23" t="s">
        <v>22</v>
      </c>
      <c r="J23" s="1">
        <v>88200</v>
      </c>
    </row>
    <row r="24" spans="1:11">
      <c r="A24" s="3" t="s">
        <v>38</v>
      </c>
      <c r="G24" t="s">
        <v>1</v>
      </c>
      <c r="H24" t="s">
        <v>26</v>
      </c>
      <c r="I24" t="s">
        <v>22</v>
      </c>
      <c r="J24" s="1">
        <v>4633250</v>
      </c>
    </row>
    <row r="25" spans="1:11">
      <c r="B25" t="s">
        <v>42</v>
      </c>
      <c r="G25" t="s">
        <v>1</v>
      </c>
      <c r="H25" t="s">
        <v>18</v>
      </c>
      <c r="I25" t="s">
        <v>3</v>
      </c>
      <c r="J25" s="1">
        <v>662680</v>
      </c>
    </row>
    <row r="26" spans="1:11">
      <c r="G26" t="s">
        <v>1</v>
      </c>
      <c r="H26" t="s">
        <v>27</v>
      </c>
      <c r="I26" t="s">
        <v>5</v>
      </c>
      <c r="J26" s="1">
        <v>609480</v>
      </c>
    </row>
    <row r="27" spans="1:11">
      <c r="A27" s="2"/>
      <c r="B27" t="s">
        <v>50</v>
      </c>
      <c r="C27" t="s">
        <v>49</v>
      </c>
      <c r="G27" t="s">
        <v>1</v>
      </c>
      <c r="H27" t="s">
        <v>27</v>
      </c>
      <c r="I27" t="s">
        <v>7</v>
      </c>
      <c r="J27" s="1">
        <v>1587481</v>
      </c>
    </row>
    <row r="28" spans="1:11">
      <c r="A28" t="s">
        <v>3</v>
      </c>
      <c r="B28" s="8">
        <f>SUM(B29:B35)</f>
        <v>74914.657888926798</v>
      </c>
      <c r="C28" s="11">
        <f>B28/B$44</f>
        <v>0.26554908385010068</v>
      </c>
      <c r="G28" t="s">
        <v>1</v>
      </c>
      <c r="H28" t="s">
        <v>7</v>
      </c>
      <c r="I28" t="s">
        <v>3</v>
      </c>
      <c r="J28" s="1">
        <v>4404500</v>
      </c>
    </row>
    <row r="29" spans="1:11">
      <c r="A29" s="9" t="s">
        <v>34</v>
      </c>
      <c r="B29" s="10">
        <f>SUM(B5:D5)/'Exchange rates'!B$5</f>
        <v>11586.014491299198</v>
      </c>
      <c r="C29" s="11" t="s">
        <v>36</v>
      </c>
      <c r="G29" t="s">
        <v>1</v>
      </c>
      <c r="H29" t="s">
        <v>28</v>
      </c>
      <c r="I29" t="s">
        <v>22</v>
      </c>
      <c r="J29" s="1">
        <v>263620</v>
      </c>
      <c r="K29" s="35"/>
    </row>
    <row r="30" spans="1:11">
      <c r="A30" s="9" t="s">
        <v>29</v>
      </c>
      <c r="B30" s="10">
        <f>SUM(B6:D6)/'Exchange rates'!B$5</f>
        <v>2.4085261826867108</v>
      </c>
      <c r="C30" s="11" t="s">
        <v>36</v>
      </c>
    </row>
    <row r="31" spans="1:11">
      <c r="A31" s="9" t="s">
        <v>18</v>
      </c>
      <c r="B31" s="10">
        <f>SUM(B7:D7)/'Exchange rates'!B$5</f>
        <v>3431.9089577102945</v>
      </c>
      <c r="C31" s="11" t="s">
        <v>36</v>
      </c>
      <c r="G31" t="s">
        <v>2</v>
      </c>
      <c r="H31" t="s">
        <v>11</v>
      </c>
      <c r="I31" t="s">
        <v>3</v>
      </c>
      <c r="J31" s="1">
        <v>4900000</v>
      </c>
    </row>
    <row r="32" spans="1:11">
      <c r="A32" s="9" t="s">
        <v>30</v>
      </c>
      <c r="B32" s="10">
        <f>SUM(B8:D8)/'Exchange rates'!B$5</f>
        <v>4887.2207614956942</v>
      </c>
      <c r="C32" s="11" t="s">
        <v>36</v>
      </c>
      <c r="G32" t="s">
        <v>2</v>
      </c>
      <c r="H32" t="s">
        <v>23</v>
      </c>
      <c r="I32" t="s">
        <v>13</v>
      </c>
      <c r="J32" s="1">
        <v>9300</v>
      </c>
    </row>
    <row r="33" spans="1:11">
      <c r="A33" s="9" t="s">
        <v>31</v>
      </c>
      <c r="B33" s="10">
        <f>SUM(B9:D9)/'Exchange rates'!B$5</f>
        <v>12363.265961503723</v>
      </c>
      <c r="C33" s="11" t="s">
        <v>36</v>
      </c>
      <c r="G33" t="s">
        <v>2</v>
      </c>
      <c r="H33" t="s">
        <v>14</v>
      </c>
      <c r="I33" t="s">
        <v>5</v>
      </c>
      <c r="J33" s="1">
        <v>3375207</v>
      </c>
    </row>
    <row r="34" spans="1:11">
      <c r="A34" s="9" t="s">
        <v>43</v>
      </c>
      <c r="B34" s="10">
        <f>SUM(B10:D10)/'Exchange rates'!B$5</f>
        <v>32608.313429540573</v>
      </c>
      <c r="C34" s="11" t="s">
        <v>36</v>
      </c>
      <c r="G34" t="s">
        <v>2</v>
      </c>
      <c r="H34" t="s">
        <v>3</v>
      </c>
      <c r="I34" t="s">
        <v>3</v>
      </c>
      <c r="J34" s="1">
        <v>16246440</v>
      </c>
    </row>
    <row r="35" spans="1:11">
      <c r="A35" s="9" t="s">
        <v>44</v>
      </c>
      <c r="B35" s="10">
        <f>SUM(B11:D11)/'Exchange rates'!B$5</f>
        <v>10035.525761194629</v>
      </c>
      <c r="C35" s="11" t="s">
        <v>36</v>
      </c>
      <c r="G35" t="s">
        <v>2</v>
      </c>
      <c r="H35" t="s">
        <v>15</v>
      </c>
      <c r="I35" t="s">
        <v>16</v>
      </c>
      <c r="J35" s="1">
        <v>4586868</v>
      </c>
    </row>
    <row r="36" spans="1:11">
      <c r="C36" s="11"/>
      <c r="G36" t="s">
        <v>2</v>
      </c>
      <c r="H36" t="s">
        <v>15</v>
      </c>
      <c r="I36" t="s">
        <v>3</v>
      </c>
      <c r="J36" s="1">
        <v>5000000</v>
      </c>
    </row>
    <row r="37" spans="1:11">
      <c r="A37" t="s">
        <v>4</v>
      </c>
      <c r="B37" s="8">
        <f>SUM(B13:D13)/'Exchange rates'!B$5</f>
        <v>12238.793328382473</v>
      </c>
      <c r="C37" s="11">
        <f t="shared" ref="C37:C42" si="0">B37/B$44</f>
        <v>4.3382703029910992E-2</v>
      </c>
      <c r="G37" t="s">
        <v>2</v>
      </c>
      <c r="H37" t="s">
        <v>26</v>
      </c>
      <c r="I37" t="s">
        <v>22</v>
      </c>
      <c r="J37" s="1">
        <v>7140</v>
      </c>
      <c r="K37" s="35"/>
    </row>
    <row r="38" spans="1:11">
      <c r="A38" t="s">
        <v>5</v>
      </c>
      <c r="B38" s="8">
        <f>SUM(B14:D14)/'Exchange rates'!B$5</f>
        <v>37276.027136061653</v>
      </c>
      <c r="C38" s="11">
        <f t="shared" si="0"/>
        <v>0.13213188359251368</v>
      </c>
      <c r="G38" t="s">
        <v>2</v>
      </c>
      <c r="H38" t="s">
        <v>26</v>
      </c>
      <c r="I38" t="s">
        <v>7</v>
      </c>
      <c r="J38" s="1">
        <v>3011569</v>
      </c>
    </row>
    <row r="39" spans="1:11">
      <c r="A39" t="s">
        <v>6</v>
      </c>
      <c r="B39" s="8">
        <f>SUM(B15:D15)/'Exchange rates'!B$5</f>
        <v>132122.64014611725</v>
      </c>
      <c r="C39" s="11">
        <f t="shared" si="0"/>
        <v>0.46833352824860081</v>
      </c>
    </row>
    <row r="40" spans="1:11">
      <c r="A40" t="s">
        <v>21</v>
      </c>
      <c r="B40" s="8">
        <f>SUM(B16:D16)/'Exchange rates'!B$5</f>
        <v>4232.1417819079543</v>
      </c>
      <c r="C40" s="11">
        <f t="shared" si="0"/>
        <v>1.5001621906565574E-2</v>
      </c>
    </row>
    <row r="41" spans="1:11">
      <c r="A41" t="s">
        <v>35</v>
      </c>
      <c r="B41" s="8">
        <f>SUM(B17:D17)/'Exchange rates'!B$5</f>
        <v>12097.244244625976</v>
      </c>
      <c r="C41" s="11">
        <f t="shared" si="0"/>
        <v>4.2880955700742247E-2</v>
      </c>
    </row>
    <row r="42" spans="1:11">
      <c r="A42" t="s">
        <v>7</v>
      </c>
      <c r="B42" s="8">
        <f>SUM(B18:D18)/'Exchange rates'!B$5</f>
        <v>9230.7769504044318</v>
      </c>
      <c r="C42" s="11">
        <f t="shared" si="0"/>
        <v>3.2720223671565886E-2</v>
      </c>
    </row>
    <row r="44" spans="1:11">
      <c r="A44" t="s">
        <v>33</v>
      </c>
      <c r="B44" s="8">
        <f>SUM(B29:B42)</f>
        <v>282112.28147642658</v>
      </c>
      <c r="C44" s="11">
        <f>SUM(C28:C42)</f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L1" sqref="L1:O1048576"/>
    </sheetView>
  </sheetViews>
  <sheetFormatPr baseColWidth="10" defaultRowHeight="15" x14ac:dyDescent="0"/>
  <cols>
    <col min="1" max="1" width="20.33203125" customWidth="1"/>
    <col min="2" max="2" width="11.6640625" bestFit="1" customWidth="1"/>
    <col min="3" max="3" width="12.5" bestFit="1" customWidth="1"/>
    <col min="4" max="4" width="12.6640625" bestFit="1" customWidth="1"/>
    <col min="5" max="5" width="12.6640625" customWidth="1"/>
    <col min="6" max="6" width="2.83203125" style="5" customWidth="1"/>
    <col min="8" max="8" width="47" customWidth="1"/>
    <col min="9" max="9" width="27.83203125" customWidth="1"/>
    <col min="10" max="10" width="16.83203125" customWidth="1"/>
    <col min="11" max="11" width="2" style="5" customWidth="1"/>
    <col min="15" max="15" width="11.5" bestFit="1" customWidth="1"/>
    <col min="16" max="16" width="12.5" bestFit="1" customWidth="1"/>
  </cols>
  <sheetData>
    <row r="1" spans="1:16">
      <c r="A1" s="3" t="s">
        <v>74</v>
      </c>
      <c r="G1" s="3" t="s">
        <v>277</v>
      </c>
    </row>
    <row r="2" spans="1:16">
      <c r="B2" t="s">
        <v>0</v>
      </c>
      <c r="C2" t="s">
        <v>1</v>
      </c>
      <c r="D2" t="s">
        <v>41</v>
      </c>
      <c r="E2" t="s">
        <v>208</v>
      </c>
      <c r="F2" s="5" t="s">
        <v>279</v>
      </c>
    </row>
    <row r="3" spans="1:16">
      <c r="B3" t="s">
        <v>39</v>
      </c>
      <c r="G3" s="19" t="s">
        <v>51</v>
      </c>
      <c r="H3" s="19" t="s">
        <v>52</v>
      </c>
      <c r="I3" s="19" t="s">
        <v>53</v>
      </c>
      <c r="J3" s="20" t="s">
        <v>54</v>
      </c>
    </row>
    <row r="4" spans="1:16">
      <c r="A4" t="s">
        <v>3</v>
      </c>
      <c r="B4" s="13">
        <v>0</v>
      </c>
      <c r="C4" s="13">
        <f>J9</f>
        <v>39245000</v>
      </c>
      <c r="D4" s="13">
        <f>J17+J25</f>
        <v>635295800</v>
      </c>
      <c r="E4" s="13" t="s">
        <v>218</v>
      </c>
      <c r="F4" s="5" t="s">
        <v>279</v>
      </c>
      <c r="J4" s="1"/>
    </row>
    <row r="5" spans="1:16">
      <c r="A5" t="s">
        <v>79</v>
      </c>
      <c r="B5" s="13">
        <v>0</v>
      </c>
      <c r="C5" s="13">
        <f>J10</f>
        <v>21596300</v>
      </c>
      <c r="D5" s="13">
        <f>J20</f>
        <v>18615000</v>
      </c>
      <c r="E5" s="13" t="s">
        <v>221</v>
      </c>
      <c r="F5" s="5" t="s">
        <v>279</v>
      </c>
      <c r="G5" t="s">
        <v>0</v>
      </c>
      <c r="H5" t="s">
        <v>55</v>
      </c>
      <c r="I5" t="s">
        <v>56</v>
      </c>
      <c r="J5" s="1">
        <v>1059410.3399999999</v>
      </c>
    </row>
    <row r="6" spans="1:16">
      <c r="A6" t="s">
        <v>80</v>
      </c>
      <c r="B6" s="13">
        <v>0</v>
      </c>
      <c r="C6" s="13">
        <v>0</v>
      </c>
      <c r="D6" s="13">
        <f>J18</f>
        <v>5167000</v>
      </c>
      <c r="E6" s="13" t="s">
        <v>222</v>
      </c>
      <c r="F6" s="5" t="s">
        <v>279</v>
      </c>
      <c r="G6" s="12" t="s">
        <v>0</v>
      </c>
      <c r="H6" t="s">
        <v>57</v>
      </c>
      <c r="I6" t="s">
        <v>58</v>
      </c>
      <c r="J6" s="1">
        <v>67089460</v>
      </c>
    </row>
    <row r="7" spans="1:16">
      <c r="A7" t="s">
        <v>75</v>
      </c>
      <c r="B7" s="13">
        <f>J5</f>
        <v>1059410.3399999999</v>
      </c>
      <c r="C7" s="13">
        <f>J8</f>
        <v>23427635.199999999</v>
      </c>
      <c r="D7" s="13">
        <f>J23+J28</f>
        <v>4511851</v>
      </c>
      <c r="E7" s="13" t="s">
        <v>226</v>
      </c>
      <c r="F7" s="5" t="s">
        <v>279</v>
      </c>
      <c r="G7" s="12"/>
      <c r="J7" s="1"/>
      <c r="P7" s="1"/>
    </row>
    <row r="8" spans="1:16">
      <c r="A8" t="s">
        <v>76</v>
      </c>
      <c r="B8" s="13">
        <f>J6</f>
        <v>67089460</v>
      </c>
      <c r="C8" s="13">
        <f>J11+J12</f>
        <v>79384450</v>
      </c>
      <c r="D8" s="13">
        <f>J26</f>
        <v>25194340</v>
      </c>
      <c r="E8" s="13" t="s">
        <v>220</v>
      </c>
      <c r="F8" s="5" t="s">
        <v>279</v>
      </c>
      <c r="G8" t="s">
        <v>1</v>
      </c>
      <c r="H8" t="s">
        <v>55</v>
      </c>
      <c r="I8" t="s">
        <v>56</v>
      </c>
      <c r="J8" s="1">
        <v>23427635.199999999</v>
      </c>
    </row>
    <row r="9" spans="1:16">
      <c r="A9" t="s">
        <v>5</v>
      </c>
      <c r="B9" s="13">
        <v>0</v>
      </c>
      <c r="C9" s="13">
        <v>0</v>
      </c>
      <c r="D9" s="13">
        <f>J15+J16</f>
        <v>77734851</v>
      </c>
      <c r="E9" s="13" t="s">
        <v>223</v>
      </c>
      <c r="F9" s="5" t="s">
        <v>279</v>
      </c>
      <c r="G9" t="s">
        <v>1</v>
      </c>
      <c r="H9" t="s">
        <v>59</v>
      </c>
      <c r="I9" t="s">
        <v>3</v>
      </c>
      <c r="J9" s="1">
        <v>39245000</v>
      </c>
    </row>
    <row r="10" spans="1:16">
      <c r="A10" t="s">
        <v>77</v>
      </c>
      <c r="B10" s="13">
        <v>0</v>
      </c>
      <c r="C10" s="13">
        <f>J13</f>
        <v>71794000</v>
      </c>
      <c r="D10" s="13">
        <f>J19</f>
        <v>15467500</v>
      </c>
      <c r="E10" s="13" t="s">
        <v>225</v>
      </c>
      <c r="F10" s="5" t="s">
        <v>279</v>
      </c>
      <c r="G10" t="s">
        <v>1</v>
      </c>
      <c r="H10" t="s">
        <v>60</v>
      </c>
      <c r="I10" t="s">
        <v>60</v>
      </c>
      <c r="J10" s="1">
        <v>21596300</v>
      </c>
    </row>
    <row r="11" spans="1:16">
      <c r="A11" t="s">
        <v>21</v>
      </c>
      <c r="B11" s="13">
        <v>0</v>
      </c>
      <c r="C11" s="13">
        <v>0</v>
      </c>
      <c r="D11" s="13">
        <f>J21+J22</f>
        <v>6060000</v>
      </c>
      <c r="E11" s="13" t="s">
        <v>219</v>
      </c>
      <c r="F11" s="5" t="s">
        <v>279</v>
      </c>
      <c r="G11" t="s">
        <v>1</v>
      </c>
      <c r="H11" t="s">
        <v>57</v>
      </c>
      <c r="I11" t="s">
        <v>58</v>
      </c>
      <c r="J11" s="1">
        <v>76984450</v>
      </c>
    </row>
    <row r="12" spans="1:16">
      <c r="A12" t="s">
        <v>78</v>
      </c>
      <c r="B12" s="13">
        <v>0</v>
      </c>
      <c r="C12" s="13">
        <v>0</v>
      </c>
      <c r="D12" s="13">
        <f>J24+J27</f>
        <v>68439932</v>
      </c>
      <c r="E12" s="13" t="s">
        <v>224</v>
      </c>
      <c r="F12" s="5" t="s">
        <v>279</v>
      </c>
      <c r="G12" t="s">
        <v>1</v>
      </c>
      <c r="H12" t="s">
        <v>61</v>
      </c>
      <c r="I12" t="s">
        <v>58</v>
      </c>
      <c r="J12" s="1">
        <v>2400000</v>
      </c>
      <c r="K12" s="35"/>
    </row>
    <row r="13" spans="1:16">
      <c r="B13" s="13"/>
      <c r="C13" s="13"/>
      <c r="D13" s="13"/>
      <c r="E13" s="13"/>
      <c r="G13" s="12" t="s">
        <v>1</v>
      </c>
      <c r="H13" t="s">
        <v>61</v>
      </c>
      <c r="I13" t="s">
        <v>62</v>
      </c>
      <c r="J13" s="1">
        <v>71794000</v>
      </c>
    </row>
    <row r="14" spans="1:16">
      <c r="A14" t="s">
        <v>33</v>
      </c>
      <c r="B14" s="13">
        <f>SUM(B4:B12)</f>
        <v>68148870.340000004</v>
      </c>
      <c r="C14" s="13">
        <f t="shared" ref="C14:D14" si="0">SUM(C4:C12)</f>
        <v>235447385.19999999</v>
      </c>
      <c r="D14" s="13">
        <f t="shared" si="0"/>
        <v>856486274</v>
      </c>
      <c r="E14" s="13"/>
      <c r="G14" s="12"/>
      <c r="J14" s="1"/>
      <c r="P14" s="1"/>
    </row>
    <row r="15" spans="1:16">
      <c r="G15" t="s">
        <v>2</v>
      </c>
      <c r="H15" t="s">
        <v>5</v>
      </c>
      <c r="I15" t="s">
        <v>5</v>
      </c>
      <c r="J15" s="1">
        <v>22550000</v>
      </c>
    </row>
    <row r="16" spans="1:16">
      <c r="A16" s="5"/>
      <c r="B16" s="5"/>
      <c r="C16" s="5"/>
      <c r="D16" s="5"/>
      <c r="E16" s="5"/>
      <c r="G16" t="s">
        <v>2</v>
      </c>
      <c r="H16" t="s">
        <v>3</v>
      </c>
      <c r="I16" t="s">
        <v>5</v>
      </c>
      <c r="J16" s="1">
        <v>55184851</v>
      </c>
    </row>
    <row r="17" spans="1:16">
      <c r="G17" t="s">
        <v>2</v>
      </c>
      <c r="H17" s="12" t="s">
        <v>3</v>
      </c>
      <c r="I17" t="s">
        <v>3</v>
      </c>
      <c r="J17" s="1">
        <v>606533300</v>
      </c>
    </row>
    <row r="18" spans="1:16">
      <c r="A18" s="3" t="s">
        <v>38</v>
      </c>
      <c r="G18" t="s">
        <v>2</v>
      </c>
      <c r="H18" t="s">
        <v>63</v>
      </c>
      <c r="I18" t="s">
        <v>64</v>
      </c>
      <c r="J18" s="1">
        <v>5167000</v>
      </c>
    </row>
    <row r="19" spans="1:16">
      <c r="B19" t="s">
        <v>81</v>
      </c>
      <c r="G19" t="s">
        <v>2</v>
      </c>
      <c r="H19" t="s">
        <v>65</v>
      </c>
      <c r="I19" t="s">
        <v>62</v>
      </c>
      <c r="J19" s="1">
        <v>15467500</v>
      </c>
    </row>
    <row r="20" spans="1:16">
      <c r="G20" t="s">
        <v>2</v>
      </c>
      <c r="H20" t="s">
        <v>66</v>
      </c>
      <c r="I20" t="s">
        <v>60</v>
      </c>
      <c r="J20" s="1">
        <v>18615000</v>
      </c>
    </row>
    <row r="21" spans="1:16">
      <c r="A21" s="2"/>
      <c r="B21" t="s">
        <v>50</v>
      </c>
      <c r="C21" t="s">
        <v>49</v>
      </c>
      <c r="G21" t="s">
        <v>2</v>
      </c>
      <c r="H21" t="s">
        <v>67</v>
      </c>
      <c r="I21" t="s">
        <v>21</v>
      </c>
      <c r="J21" s="1">
        <v>2350000</v>
      </c>
    </row>
    <row r="22" spans="1:16">
      <c r="A22" t="s">
        <v>3</v>
      </c>
      <c r="B22" s="8">
        <f>SUM(B4:D4)/'Exchange rates'!E$5</f>
        <v>428198.31143274298</v>
      </c>
      <c r="C22" s="11">
        <f>B22/B$32</f>
        <v>0.5814593210600898</v>
      </c>
      <c r="G22" t="s">
        <v>2</v>
      </c>
      <c r="H22" t="s">
        <v>68</v>
      </c>
      <c r="I22" t="s">
        <v>21</v>
      </c>
      <c r="J22" s="1">
        <v>3710000</v>
      </c>
    </row>
    <row r="23" spans="1:16">
      <c r="A23" t="s">
        <v>79</v>
      </c>
      <c r="B23" s="8">
        <f>SUM(B5:D5)/'Exchange rates'!E$5</f>
        <v>25526.122008506318</v>
      </c>
      <c r="C23" s="11">
        <f t="shared" ref="C23:C30" si="1">B23/B$32</f>
        <v>3.4662447693221209E-2</v>
      </c>
      <c r="G23" t="s">
        <v>2</v>
      </c>
      <c r="H23" t="s">
        <v>69</v>
      </c>
      <c r="I23" t="s">
        <v>56</v>
      </c>
      <c r="J23" s="1">
        <v>3406063</v>
      </c>
    </row>
    <row r="24" spans="1:16">
      <c r="A24" t="s">
        <v>80</v>
      </c>
      <c r="B24" s="8">
        <f>SUM(B6:D6)/'Exchange rates'!E$5</f>
        <v>3280.0101567955312</v>
      </c>
      <c r="C24" s="11">
        <f t="shared" si="1"/>
        <v>4.4539934603177213E-3</v>
      </c>
      <c r="G24" t="s">
        <v>2</v>
      </c>
      <c r="H24" t="s">
        <v>70</v>
      </c>
      <c r="I24" t="s">
        <v>71</v>
      </c>
      <c r="J24" s="1">
        <v>27908500</v>
      </c>
    </row>
    <row r="25" spans="1:16">
      <c r="A25" t="s">
        <v>75</v>
      </c>
      <c r="B25" s="8">
        <f>SUM(B7:D7)/'Exchange rates'!E$5</f>
        <v>18408.491423855772</v>
      </c>
      <c r="C25" s="11">
        <f t="shared" si="1"/>
        <v>2.4997270281708957E-2</v>
      </c>
      <c r="G25" t="s">
        <v>2</v>
      </c>
      <c r="H25" t="s">
        <v>72</v>
      </c>
      <c r="I25" t="s">
        <v>3</v>
      </c>
      <c r="J25" s="1">
        <v>28762500</v>
      </c>
    </row>
    <row r="26" spans="1:16">
      <c r="A26" t="s">
        <v>76</v>
      </c>
      <c r="B26" s="8">
        <f>SUM(B8:D8)/'Exchange rates'!E$5</f>
        <v>108974.95715101885</v>
      </c>
      <c r="C26" s="11">
        <f t="shared" si="1"/>
        <v>0.14797934252838932</v>
      </c>
      <c r="G26" t="s">
        <v>2</v>
      </c>
      <c r="H26" t="s">
        <v>57</v>
      </c>
      <c r="I26" t="s">
        <v>58</v>
      </c>
      <c r="J26" s="1">
        <v>25194340</v>
      </c>
    </row>
    <row r="27" spans="1:16">
      <c r="A27" t="s">
        <v>5</v>
      </c>
      <c r="B27" s="8">
        <f>SUM(B9:D9)/'Exchange rates'!E$5</f>
        <v>49346.061702532854</v>
      </c>
      <c r="C27" s="11">
        <f t="shared" si="1"/>
        <v>6.7008035222135179E-2</v>
      </c>
      <c r="G27" t="s">
        <v>2</v>
      </c>
      <c r="H27" t="s">
        <v>71</v>
      </c>
      <c r="I27" t="s">
        <v>71</v>
      </c>
      <c r="J27" s="1">
        <v>40531432</v>
      </c>
    </row>
    <row r="28" spans="1:16">
      <c r="A28" t="s">
        <v>77</v>
      </c>
      <c r="B28" s="8">
        <f>SUM(B10:D10)/'Exchange rates'!E$5</f>
        <v>55393.575826826636</v>
      </c>
      <c r="C28" s="11">
        <f t="shared" si="1"/>
        <v>7.5220079415040608E-2</v>
      </c>
      <c r="G28" t="s">
        <v>2</v>
      </c>
      <c r="H28" t="s">
        <v>73</v>
      </c>
      <c r="I28" t="s">
        <v>56</v>
      </c>
      <c r="J28" s="1">
        <v>1105788</v>
      </c>
    </row>
    <row r="29" spans="1:16">
      <c r="A29" t="s">
        <v>21</v>
      </c>
      <c r="B29" s="8">
        <f>SUM(B11:D11)/'Exchange rates'!E$5</f>
        <v>3846.886307370025</v>
      </c>
      <c r="C29" s="11">
        <f t="shared" si="1"/>
        <v>5.2237662801481307E-3</v>
      </c>
      <c r="K29" s="35"/>
      <c r="P29" s="1"/>
    </row>
    <row r="30" spans="1:16">
      <c r="A30" t="s">
        <v>78</v>
      </c>
      <c r="B30" s="8">
        <f>SUM(B12:D12)/'Exchange rates'!E$5</f>
        <v>43445.649717514127</v>
      </c>
      <c r="C30" s="11">
        <f t="shared" si="1"/>
        <v>5.8995744058949015E-2</v>
      </c>
    </row>
    <row r="32" spans="1:16">
      <c r="A32" t="s">
        <v>33</v>
      </c>
      <c r="B32" s="8">
        <f>SUM(B22:B30)</f>
        <v>736420.06572716311</v>
      </c>
      <c r="C32" s="11">
        <f>SUM(C22:C30)</f>
        <v>0.99999999999999989</v>
      </c>
    </row>
    <row r="37" spans="11:11">
      <c r="K37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opLeftCell="E1" workbookViewId="0">
      <selection activeCell="O1" sqref="O1:R1048576"/>
    </sheetView>
  </sheetViews>
  <sheetFormatPr baseColWidth="10" defaultRowHeight="15" x14ac:dyDescent="0"/>
  <cols>
    <col min="1" max="1" width="27.5" customWidth="1"/>
    <col min="2" max="2" width="14.1640625" bestFit="1" customWidth="1"/>
    <col min="3" max="3" width="12.5" bestFit="1" customWidth="1"/>
    <col min="4" max="5" width="13" customWidth="1"/>
    <col min="6" max="6" width="3.1640625" style="5" customWidth="1"/>
    <col min="8" max="8" width="37.5" customWidth="1"/>
    <col min="9" max="9" width="27.33203125" customWidth="1"/>
    <col min="10" max="10" width="42.33203125" customWidth="1"/>
    <col min="11" max="11" width="18.6640625" customWidth="1"/>
    <col min="12" max="12" width="2" customWidth="1"/>
    <col min="14" max="14" width="2" style="5" customWidth="1"/>
    <col min="18" max="18" width="11.5" bestFit="1" customWidth="1"/>
  </cols>
  <sheetData>
    <row r="1" spans="1:14">
      <c r="A1" s="3" t="s">
        <v>158</v>
      </c>
      <c r="G1" s="16" t="s">
        <v>278</v>
      </c>
      <c r="K1" s="15"/>
    </row>
    <row r="2" spans="1:14">
      <c r="K2" s="13"/>
    </row>
    <row r="3" spans="1:14">
      <c r="B3" t="s">
        <v>0</v>
      </c>
      <c r="C3" t="s">
        <v>1</v>
      </c>
      <c r="D3" t="s">
        <v>2</v>
      </c>
      <c r="E3" t="s">
        <v>208</v>
      </c>
      <c r="F3" s="5" t="s">
        <v>279</v>
      </c>
      <c r="G3" s="19" t="s">
        <v>83</v>
      </c>
      <c r="H3" s="19" t="s">
        <v>84</v>
      </c>
      <c r="I3" s="19" t="s">
        <v>85</v>
      </c>
      <c r="J3" s="19" t="s">
        <v>86</v>
      </c>
      <c r="K3" s="19" t="s">
        <v>33</v>
      </c>
      <c r="L3" s="19"/>
      <c r="M3" s="19" t="s">
        <v>160</v>
      </c>
    </row>
    <row r="4" spans="1:14">
      <c r="B4" s="13" t="s">
        <v>174</v>
      </c>
      <c r="G4" t="s">
        <v>0</v>
      </c>
      <c r="H4" t="s">
        <v>87</v>
      </c>
      <c r="I4" t="s">
        <v>88</v>
      </c>
      <c r="J4" t="s">
        <v>89</v>
      </c>
      <c r="K4" s="15">
        <v>18948500</v>
      </c>
      <c r="L4" s="15"/>
      <c r="M4" t="str">
        <f>G4&amp;I4</f>
        <v>2011-12Mapping</v>
      </c>
      <c r="N4" s="5" t="s">
        <v>279</v>
      </c>
    </row>
    <row r="5" spans="1:14">
      <c r="A5" t="s">
        <v>58</v>
      </c>
      <c r="B5" s="13">
        <f t="shared" ref="B5:D16" si="0">SUMIF($M$4:$M$108,B$3&amp;$A5,$K$4:$K$108)</f>
        <v>66822282</v>
      </c>
      <c r="C5" s="13">
        <f t="shared" si="0"/>
        <v>159589780</v>
      </c>
      <c r="D5" s="13">
        <f t="shared" si="0"/>
        <v>66051710</v>
      </c>
      <c r="E5" s="13" t="s">
        <v>227</v>
      </c>
      <c r="F5" s="5" t="s">
        <v>279</v>
      </c>
      <c r="G5" t="s">
        <v>0</v>
      </c>
      <c r="H5" t="s">
        <v>87</v>
      </c>
      <c r="I5" t="s">
        <v>159</v>
      </c>
      <c r="J5" t="s">
        <v>90</v>
      </c>
      <c r="K5" s="15">
        <v>6480000</v>
      </c>
      <c r="L5" s="15"/>
      <c r="M5" t="str">
        <f t="shared" ref="M5:M68" si="1">G5&amp;I5</f>
        <v>2011-12Unknown</v>
      </c>
      <c r="N5" s="5" t="s">
        <v>279</v>
      </c>
    </row>
    <row r="6" spans="1:14">
      <c r="A6" t="s">
        <v>88</v>
      </c>
      <c r="B6" s="13">
        <f t="shared" si="0"/>
        <v>130251594</v>
      </c>
      <c r="C6" s="13">
        <f t="shared" si="0"/>
        <v>130268862</v>
      </c>
      <c r="D6" s="13">
        <f t="shared" si="0"/>
        <v>47000000</v>
      </c>
      <c r="E6" s="13" t="s">
        <v>228</v>
      </c>
      <c r="F6" s="5" t="s">
        <v>279</v>
      </c>
      <c r="G6" t="s">
        <v>0</v>
      </c>
      <c r="H6" t="s">
        <v>87</v>
      </c>
      <c r="I6" t="s">
        <v>159</v>
      </c>
      <c r="J6" t="s">
        <v>91</v>
      </c>
      <c r="K6" s="15">
        <v>890000</v>
      </c>
      <c r="L6" s="15"/>
      <c r="M6" t="str">
        <f t="shared" si="1"/>
        <v>2011-12Unknown</v>
      </c>
      <c r="N6" s="5" t="s">
        <v>279</v>
      </c>
    </row>
    <row r="7" spans="1:14">
      <c r="A7" t="s">
        <v>97</v>
      </c>
      <c r="B7" s="13">
        <f t="shared" si="0"/>
        <v>5114000</v>
      </c>
      <c r="C7" s="13">
        <f t="shared" si="0"/>
        <v>2689677</v>
      </c>
      <c r="D7" s="13">
        <f t="shared" si="0"/>
        <v>2691270</v>
      </c>
      <c r="E7" s="13" t="s">
        <v>235</v>
      </c>
      <c r="F7" s="5" t="s">
        <v>279</v>
      </c>
      <c r="G7" t="s">
        <v>0</v>
      </c>
      <c r="H7" t="s">
        <v>87</v>
      </c>
      <c r="I7" t="s">
        <v>159</v>
      </c>
      <c r="J7" t="s">
        <v>92</v>
      </c>
      <c r="K7" s="15">
        <v>9880000</v>
      </c>
      <c r="L7" s="15"/>
      <c r="M7" t="str">
        <f t="shared" si="1"/>
        <v>2011-12Unknown</v>
      </c>
      <c r="N7" s="5" t="s">
        <v>279</v>
      </c>
    </row>
    <row r="8" spans="1:14">
      <c r="A8" t="s">
        <v>62</v>
      </c>
      <c r="B8" s="13">
        <f t="shared" si="0"/>
        <v>30035200</v>
      </c>
      <c r="C8" s="13">
        <f t="shared" si="0"/>
        <v>0</v>
      </c>
      <c r="D8" s="13">
        <f t="shared" si="0"/>
        <v>0</v>
      </c>
      <c r="E8" s="13" t="s">
        <v>236</v>
      </c>
      <c r="F8" s="5" t="s">
        <v>279</v>
      </c>
      <c r="G8" t="s">
        <v>0</v>
      </c>
      <c r="H8" t="s">
        <v>93</v>
      </c>
      <c r="I8" t="s">
        <v>58</v>
      </c>
      <c r="J8" t="s">
        <v>94</v>
      </c>
      <c r="K8" s="15">
        <v>555863</v>
      </c>
      <c r="L8" s="15"/>
      <c r="M8" t="str">
        <f t="shared" si="1"/>
        <v>2011-12Central Administration</v>
      </c>
      <c r="N8" s="5" t="s">
        <v>279</v>
      </c>
    </row>
    <row r="9" spans="1:14">
      <c r="A9" t="s">
        <v>71</v>
      </c>
      <c r="B9" s="13">
        <f t="shared" si="0"/>
        <v>239300000</v>
      </c>
      <c r="C9" s="13">
        <f t="shared" si="0"/>
        <v>149000000</v>
      </c>
      <c r="D9" s="13">
        <f t="shared" si="0"/>
        <v>0</v>
      </c>
      <c r="E9" s="13" t="s">
        <v>229</v>
      </c>
      <c r="F9" s="5" t="s">
        <v>279</v>
      </c>
      <c r="G9" t="s">
        <v>0</v>
      </c>
      <c r="H9" t="s">
        <v>93</v>
      </c>
      <c r="I9" t="s">
        <v>88</v>
      </c>
      <c r="J9" t="s">
        <v>95</v>
      </c>
      <c r="K9" s="15">
        <v>425999</v>
      </c>
      <c r="L9" s="15"/>
      <c r="M9" t="str">
        <f t="shared" si="1"/>
        <v>2011-12Mapping</v>
      </c>
      <c r="N9" s="5" t="s">
        <v>279</v>
      </c>
    </row>
    <row r="10" spans="1:14">
      <c r="A10" t="s">
        <v>123</v>
      </c>
      <c r="B10" s="13">
        <f t="shared" si="0"/>
        <v>10360000</v>
      </c>
      <c r="C10" s="13">
        <f t="shared" si="0"/>
        <v>0</v>
      </c>
      <c r="D10" s="13">
        <f t="shared" si="0"/>
        <v>0</v>
      </c>
      <c r="E10" s="13" t="s">
        <v>222</v>
      </c>
      <c r="F10" s="5" t="s">
        <v>279</v>
      </c>
      <c r="G10" t="s">
        <v>0</v>
      </c>
      <c r="H10" t="s">
        <v>93</v>
      </c>
      <c r="I10" t="s">
        <v>88</v>
      </c>
      <c r="J10" t="s">
        <v>96</v>
      </c>
      <c r="K10" s="15">
        <v>2873095</v>
      </c>
      <c r="L10" s="15"/>
      <c r="M10" t="str">
        <f t="shared" si="1"/>
        <v>2011-12Mapping</v>
      </c>
      <c r="N10" s="5" t="s">
        <v>279</v>
      </c>
    </row>
    <row r="11" spans="1:14">
      <c r="A11" t="s">
        <v>21</v>
      </c>
      <c r="B11" s="13">
        <f t="shared" si="0"/>
        <v>37744800</v>
      </c>
      <c r="C11" s="13">
        <f t="shared" si="0"/>
        <v>0</v>
      </c>
      <c r="D11" s="13">
        <f t="shared" si="0"/>
        <v>0</v>
      </c>
      <c r="E11" s="13" t="s">
        <v>232</v>
      </c>
      <c r="F11" s="5" t="s">
        <v>279</v>
      </c>
      <c r="G11" t="s">
        <v>0</v>
      </c>
      <c r="H11" t="s">
        <v>93</v>
      </c>
      <c r="I11" t="s">
        <v>97</v>
      </c>
      <c r="J11" t="s">
        <v>98</v>
      </c>
      <c r="K11" s="15">
        <v>250000</v>
      </c>
      <c r="L11" s="15"/>
      <c r="M11" t="str">
        <f t="shared" si="1"/>
        <v>2011-12Monitoring and Evaluation</v>
      </c>
      <c r="N11" s="5" t="s">
        <v>279</v>
      </c>
    </row>
    <row r="12" spans="1:14">
      <c r="A12" t="s">
        <v>56</v>
      </c>
      <c r="B12" s="13">
        <f t="shared" si="0"/>
        <v>0</v>
      </c>
      <c r="C12" s="13">
        <f t="shared" si="0"/>
        <v>20719725</v>
      </c>
      <c r="D12" s="13">
        <f t="shared" si="0"/>
        <v>10921778</v>
      </c>
      <c r="E12" s="13" t="s">
        <v>233</v>
      </c>
      <c r="F12" s="5" t="s">
        <v>279</v>
      </c>
      <c r="G12" t="s">
        <v>0</v>
      </c>
      <c r="H12" t="s">
        <v>99</v>
      </c>
      <c r="I12" t="s">
        <v>62</v>
      </c>
      <c r="J12" t="s">
        <v>100</v>
      </c>
      <c r="K12" s="15">
        <v>6580000</v>
      </c>
      <c r="L12" s="15"/>
      <c r="M12" t="str">
        <f t="shared" si="1"/>
        <v>2011-12Strategic Planning</v>
      </c>
      <c r="N12" s="5" t="s">
        <v>279</v>
      </c>
    </row>
    <row r="13" spans="1:14">
      <c r="A13" t="s">
        <v>140</v>
      </c>
      <c r="B13" s="13">
        <f t="shared" si="0"/>
        <v>0</v>
      </c>
      <c r="C13" s="13">
        <f t="shared" si="0"/>
        <v>7000000</v>
      </c>
      <c r="D13" s="13">
        <f t="shared" si="0"/>
        <v>0</v>
      </c>
      <c r="E13" s="13" t="s">
        <v>234</v>
      </c>
      <c r="F13" s="5" t="s">
        <v>279</v>
      </c>
      <c r="G13" t="s">
        <v>0</v>
      </c>
      <c r="H13" t="s">
        <v>99</v>
      </c>
      <c r="I13" t="s">
        <v>62</v>
      </c>
      <c r="J13" t="s">
        <v>101</v>
      </c>
      <c r="K13" s="15">
        <v>11200000</v>
      </c>
      <c r="L13" s="15"/>
      <c r="M13" t="str">
        <f t="shared" si="1"/>
        <v>2011-12Strategic Planning</v>
      </c>
      <c r="N13" s="5" t="s">
        <v>279</v>
      </c>
    </row>
    <row r="14" spans="1:14">
      <c r="A14" t="s">
        <v>163</v>
      </c>
      <c r="B14" s="13">
        <f t="shared" si="0"/>
        <v>0</v>
      </c>
      <c r="C14" s="13">
        <f t="shared" si="0"/>
        <v>159300000</v>
      </c>
      <c r="D14" s="13">
        <f t="shared" si="0"/>
        <v>0</v>
      </c>
      <c r="E14" s="13" t="s">
        <v>230</v>
      </c>
      <c r="F14" s="5" t="s">
        <v>279</v>
      </c>
      <c r="G14" t="s">
        <v>0</v>
      </c>
      <c r="H14" t="s">
        <v>102</v>
      </c>
      <c r="I14" t="s">
        <v>62</v>
      </c>
      <c r="J14" t="s">
        <v>103</v>
      </c>
      <c r="K14" s="15">
        <v>240000</v>
      </c>
      <c r="L14" s="15"/>
      <c r="M14" t="str">
        <f t="shared" si="1"/>
        <v>2011-12Strategic Planning</v>
      </c>
      <c r="N14" s="5" t="s">
        <v>279</v>
      </c>
    </row>
    <row r="15" spans="1:14">
      <c r="A15" t="s">
        <v>3</v>
      </c>
      <c r="B15" s="13">
        <f t="shared" si="0"/>
        <v>0</v>
      </c>
      <c r="C15" s="13">
        <f t="shared" si="0"/>
        <v>92373000</v>
      </c>
      <c r="D15" s="13">
        <f t="shared" si="0"/>
        <v>0</v>
      </c>
      <c r="E15" s="13" t="s">
        <v>231</v>
      </c>
      <c r="F15" s="5" t="s">
        <v>279</v>
      </c>
      <c r="G15" t="s">
        <v>0</v>
      </c>
      <c r="H15" t="s">
        <v>102</v>
      </c>
      <c r="I15" t="s">
        <v>62</v>
      </c>
      <c r="J15" t="s">
        <v>104</v>
      </c>
      <c r="K15" s="15">
        <v>327500</v>
      </c>
      <c r="L15" s="15"/>
      <c r="M15" t="str">
        <f t="shared" si="1"/>
        <v>2011-12Strategic Planning</v>
      </c>
      <c r="N15" s="5" t="s">
        <v>279</v>
      </c>
    </row>
    <row r="16" spans="1:14">
      <c r="A16" t="s">
        <v>159</v>
      </c>
      <c r="B16" s="13">
        <f t="shared" si="0"/>
        <v>17250000</v>
      </c>
      <c r="C16" s="13">
        <f t="shared" si="0"/>
        <v>14374770</v>
      </c>
      <c r="D16" s="13">
        <f t="shared" si="0"/>
        <v>0</v>
      </c>
      <c r="E16" s="13"/>
      <c r="G16" t="s">
        <v>0</v>
      </c>
      <c r="H16" t="s">
        <v>102</v>
      </c>
      <c r="I16" t="s">
        <v>62</v>
      </c>
      <c r="J16" t="s">
        <v>105</v>
      </c>
      <c r="K16" s="15">
        <v>11687700</v>
      </c>
      <c r="L16" s="15"/>
      <c r="M16" t="str">
        <f t="shared" si="1"/>
        <v>2011-12Strategic Planning</v>
      </c>
      <c r="N16" s="5" t="s">
        <v>279</v>
      </c>
    </row>
    <row r="17" spans="1:14">
      <c r="B17" s="13"/>
      <c r="C17" s="13"/>
      <c r="D17" s="13"/>
      <c r="E17" s="13"/>
      <c r="G17" t="s">
        <v>0</v>
      </c>
      <c r="H17" t="s">
        <v>106</v>
      </c>
      <c r="I17" t="s">
        <v>71</v>
      </c>
      <c r="J17" t="s">
        <v>107</v>
      </c>
      <c r="K17" s="15">
        <v>209300000</v>
      </c>
      <c r="L17" s="15"/>
      <c r="M17" t="str">
        <f t="shared" si="1"/>
        <v>2011-12Social Mobilisation</v>
      </c>
      <c r="N17" s="5" t="s">
        <v>279</v>
      </c>
    </row>
    <row r="18" spans="1:14">
      <c r="A18" t="s">
        <v>33</v>
      </c>
      <c r="B18" s="13">
        <f>SUM(B5:B16)</f>
        <v>536877876</v>
      </c>
      <c r="C18" s="13">
        <f>SUM(C5:C16)</f>
        <v>735315814</v>
      </c>
      <c r="D18" s="13">
        <f>SUM(D5:D16)</f>
        <v>126664758</v>
      </c>
      <c r="E18" s="13"/>
      <c r="G18" t="s">
        <v>0</v>
      </c>
      <c r="H18" t="s">
        <v>106</v>
      </c>
      <c r="I18" t="s">
        <v>71</v>
      </c>
      <c r="J18" t="s">
        <v>103</v>
      </c>
      <c r="K18" s="15">
        <v>30000000</v>
      </c>
      <c r="L18" s="15"/>
      <c r="M18" t="str">
        <f t="shared" si="1"/>
        <v>2011-12Social Mobilisation</v>
      </c>
      <c r="N18" s="5" t="s">
        <v>279</v>
      </c>
    </row>
    <row r="19" spans="1:14">
      <c r="B19" s="13"/>
      <c r="C19" s="13"/>
      <c r="D19" s="13"/>
      <c r="E19" s="13"/>
      <c r="G19" t="s">
        <v>0</v>
      </c>
      <c r="H19" t="s">
        <v>108</v>
      </c>
      <c r="I19" t="s">
        <v>97</v>
      </c>
      <c r="J19" t="s">
        <v>109</v>
      </c>
      <c r="K19" s="15">
        <v>3950000</v>
      </c>
      <c r="L19" s="15"/>
      <c r="M19" t="str">
        <f t="shared" si="1"/>
        <v>2011-12Monitoring and Evaluation</v>
      </c>
      <c r="N19" s="5" t="s">
        <v>279</v>
      </c>
    </row>
    <row r="20" spans="1:14">
      <c r="A20" s="5"/>
      <c r="B20" s="5"/>
      <c r="C20" s="17"/>
      <c r="D20" s="5"/>
      <c r="E20" s="5"/>
      <c r="G20" t="s">
        <v>0</v>
      </c>
      <c r="H20" t="s">
        <v>108</v>
      </c>
      <c r="I20" t="s">
        <v>97</v>
      </c>
      <c r="J20" t="s">
        <v>91</v>
      </c>
      <c r="K20" s="15">
        <v>914000</v>
      </c>
      <c r="L20" s="15"/>
      <c r="M20" t="str">
        <f t="shared" si="1"/>
        <v>2011-12Monitoring and Evaluation</v>
      </c>
      <c r="N20" s="5" t="s">
        <v>279</v>
      </c>
    </row>
    <row r="21" spans="1:14">
      <c r="G21" t="s">
        <v>0</v>
      </c>
      <c r="H21" t="s">
        <v>110</v>
      </c>
      <c r="I21" t="s">
        <v>88</v>
      </c>
      <c r="J21" t="s">
        <v>111</v>
      </c>
      <c r="K21" s="15">
        <v>5946000</v>
      </c>
      <c r="L21" s="15"/>
      <c r="M21" t="str">
        <f t="shared" si="1"/>
        <v>2011-12Mapping</v>
      </c>
      <c r="N21" s="5" t="s">
        <v>279</v>
      </c>
    </row>
    <row r="22" spans="1:14">
      <c r="A22" s="3" t="s">
        <v>38</v>
      </c>
      <c r="B22" t="s">
        <v>161</v>
      </c>
      <c r="G22" t="s">
        <v>0</v>
      </c>
      <c r="H22" t="s">
        <v>110</v>
      </c>
      <c r="I22" t="s">
        <v>88</v>
      </c>
      <c r="J22" t="s">
        <v>91</v>
      </c>
      <c r="K22" s="15">
        <v>13733000</v>
      </c>
      <c r="L22" s="15"/>
      <c r="M22" t="str">
        <f t="shared" si="1"/>
        <v>2011-12Mapping</v>
      </c>
      <c r="N22" s="5" t="s">
        <v>279</v>
      </c>
    </row>
    <row r="23" spans="1:14">
      <c r="G23" t="s">
        <v>0</v>
      </c>
      <c r="H23" t="s">
        <v>110</v>
      </c>
      <c r="I23" t="s">
        <v>88</v>
      </c>
      <c r="J23" t="s">
        <v>112</v>
      </c>
      <c r="K23" s="15">
        <v>9460000</v>
      </c>
      <c r="L23" s="15"/>
      <c r="M23" t="str">
        <f t="shared" si="1"/>
        <v>2011-12Mapping</v>
      </c>
      <c r="N23" s="5" t="s">
        <v>279</v>
      </c>
    </row>
    <row r="24" spans="1:14">
      <c r="A24" t="s">
        <v>58</v>
      </c>
      <c r="B24" s="8">
        <f>SUM(B5:D5)/'Exchange rates'!H$5</f>
        <v>115430.88563230413</v>
      </c>
      <c r="C24" s="11">
        <f t="shared" ref="C24:C35" si="2">B24/B$37</f>
        <v>0.20907317135493322</v>
      </c>
      <c r="D24" s="12"/>
      <c r="E24" s="12"/>
      <c r="G24" t="s">
        <v>0</v>
      </c>
      <c r="H24" t="s">
        <v>110</v>
      </c>
      <c r="I24" t="s">
        <v>88</v>
      </c>
      <c r="J24" t="s">
        <v>113</v>
      </c>
      <c r="K24" s="15">
        <v>4980000</v>
      </c>
      <c r="L24" s="15"/>
      <c r="M24" t="str">
        <f t="shared" si="1"/>
        <v>2011-12Mapping</v>
      </c>
      <c r="N24" s="5" t="s">
        <v>279</v>
      </c>
    </row>
    <row r="25" spans="1:14">
      <c r="A25" t="s">
        <v>88</v>
      </c>
      <c r="B25" s="8">
        <f>SUM(B6:D6)/'Exchange rates'!H$5</f>
        <v>121373.52378170795</v>
      </c>
      <c r="C25" s="11">
        <f t="shared" si="2"/>
        <v>0.21983672217848302</v>
      </c>
      <c r="D25" s="12"/>
      <c r="E25" s="12"/>
      <c r="G25" t="s">
        <v>0</v>
      </c>
      <c r="H25" t="s">
        <v>110</v>
      </c>
      <c r="I25" t="s">
        <v>88</v>
      </c>
      <c r="J25" t="s">
        <v>114</v>
      </c>
      <c r="K25" s="15">
        <v>5115000</v>
      </c>
      <c r="L25" s="15"/>
      <c r="M25" t="str">
        <f t="shared" si="1"/>
        <v>2011-12Mapping</v>
      </c>
      <c r="N25" s="5" t="s">
        <v>279</v>
      </c>
    </row>
    <row r="26" spans="1:14">
      <c r="A26" t="s">
        <v>97</v>
      </c>
      <c r="B26" s="8">
        <f>SUM(B7:D7)/'Exchange rates'!H$5</f>
        <v>4142.1917613580299</v>
      </c>
      <c r="C26" s="11">
        <f t="shared" si="2"/>
        <v>7.502508216614065E-3</v>
      </c>
      <c r="D26" s="12"/>
      <c r="E26" s="12"/>
      <c r="G26" t="s">
        <v>0</v>
      </c>
      <c r="H26" t="s">
        <v>110</v>
      </c>
      <c r="I26" t="s">
        <v>88</v>
      </c>
      <c r="J26" t="s">
        <v>115</v>
      </c>
      <c r="K26" s="15">
        <v>1230000</v>
      </c>
      <c r="L26" s="15"/>
      <c r="M26" t="str">
        <f t="shared" si="1"/>
        <v>2011-12Mapping</v>
      </c>
      <c r="N26" s="5" t="s">
        <v>279</v>
      </c>
    </row>
    <row r="27" spans="1:14">
      <c r="A27" t="s">
        <v>62</v>
      </c>
      <c r="B27" s="8">
        <f>SUM(B8:D8)/'Exchange rates'!H$5</f>
        <v>11854.424609361124</v>
      </c>
      <c r="C27" s="11">
        <f t="shared" si="2"/>
        <v>2.1471221797275085E-2</v>
      </c>
      <c r="D27" s="12"/>
      <c r="E27" s="12"/>
      <c r="G27" t="s">
        <v>0</v>
      </c>
      <c r="H27" t="s">
        <v>110</v>
      </c>
      <c r="I27" t="s">
        <v>88</v>
      </c>
      <c r="J27" t="s">
        <v>116</v>
      </c>
      <c r="K27" s="15">
        <v>105000</v>
      </c>
      <c r="L27" s="15"/>
      <c r="M27" t="str">
        <f t="shared" si="1"/>
        <v>2011-12Mapping</v>
      </c>
      <c r="N27" s="5" t="s">
        <v>279</v>
      </c>
    </row>
    <row r="28" spans="1:14">
      <c r="A28" t="s">
        <v>71</v>
      </c>
      <c r="B28" s="8">
        <f>SUM(B9:D9)/'Exchange rates'!H$5</f>
        <v>153255.94888047772</v>
      </c>
      <c r="C28" s="11">
        <f t="shared" si="2"/>
        <v>0.27758348284286155</v>
      </c>
      <c r="D28" s="12"/>
      <c r="E28" s="12"/>
      <c r="G28" t="s">
        <v>0</v>
      </c>
      <c r="H28" t="s">
        <v>110</v>
      </c>
      <c r="I28" t="s">
        <v>88</v>
      </c>
      <c r="J28" t="s">
        <v>117</v>
      </c>
      <c r="K28" s="15">
        <v>525000</v>
      </c>
      <c r="L28" s="15"/>
      <c r="M28" t="str">
        <f t="shared" si="1"/>
        <v>2011-12Mapping</v>
      </c>
      <c r="N28" s="5" t="s">
        <v>279</v>
      </c>
    </row>
    <row r="29" spans="1:14">
      <c r="A29" t="s">
        <v>123</v>
      </c>
      <c r="B29" s="8">
        <f>SUM(B10:D10)/'Exchange rates'!H$5</f>
        <v>4088.9302868960835</v>
      </c>
      <c r="C29" s="11">
        <f t="shared" si="2"/>
        <v>7.4060388417513416E-3</v>
      </c>
      <c r="D29" s="12"/>
      <c r="E29" s="12"/>
      <c r="G29" t="s">
        <v>0</v>
      </c>
      <c r="H29" t="s">
        <v>110</v>
      </c>
      <c r="I29" t="s">
        <v>88</v>
      </c>
      <c r="J29" t="s">
        <v>118</v>
      </c>
      <c r="K29" s="15">
        <v>14880000</v>
      </c>
      <c r="L29" s="15"/>
      <c r="M29" t="str">
        <f t="shared" si="1"/>
        <v>2011-12Mapping</v>
      </c>
      <c r="N29" s="5" t="s">
        <v>279</v>
      </c>
    </row>
    <row r="30" spans="1:14">
      <c r="A30" t="s">
        <v>21</v>
      </c>
      <c r="B30" s="8">
        <f>SUM(B11:D11)/'Exchange rates'!H$5</f>
        <v>14897.283387339314</v>
      </c>
      <c r="C30" s="11">
        <f t="shared" si="2"/>
        <v>2.6982572864298844E-2</v>
      </c>
      <c r="D30" s="12"/>
      <c r="E30" s="12"/>
      <c r="G30" t="s">
        <v>0</v>
      </c>
      <c r="H30" t="s">
        <v>110</v>
      </c>
      <c r="I30" t="s">
        <v>88</v>
      </c>
      <c r="J30" t="s">
        <v>119</v>
      </c>
      <c r="K30" s="15">
        <v>15000</v>
      </c>
      <c r="L30" s="15"/>
      <c r="M30" t="str">
        <f t="shared" si="1"/>
        <v>2011-12Mapping</v>
      </c>
      <c r="N30" s="5" t="s">
        <v>279</v>
      </c>
    </row>
    <row r="31" spans="1:14">
      <c r="A31" t="s">
        <v>56</v>
      </c>
      <c r="B31" s="8">
        <f>SUM(B12:D12)/'Exchange rates'!H$5</f>
        <v>12488.407330078502</v>
      </c>
      <c r="C31" s="11">
        <f t="shared" si="2"/>
        <v>2.2619517396659419E-2</v>
      </c>
      <c r="D31" s="12"/>
      <c r="E31" s="12"/>
      <c r="G31" t="s">
        <v>0</v>
      </c>
      <c r="H31" t="s">
        <v>110</v>
      </c>
      <c r="I31" t="s">
        <v>88</v>
      </c>
      <c r="J31" t="s">
        <v>89</v>
      </c>
      <c r="K31" s="15">
        <v>12400000</v>
      </c>
      <c r="L31" s="15"/>
      <c r="M31" t="str">
        <f t="shared" si="1"/>
        <v>2011-12Mapping</v>
      </c>
      <c r="N31" s="5" t="s">
        <v>279</v>
      </c>
    </row>
    <row r="32" spans="1:14">
      <c r="A32" t="s">
        <v>140</v>
      </c>
      <c r="B32" s="8">
        <f>SUM(B13:D13)/'Exchange rates'!H$5</f>
        <v>2762.7907343892457</v>
      </c>
      <c r="C32" s="11">
        <f t="shared" si="2"/>
        <v>5.0040802984806362E-3</v>
      </c>
      <c r="D32" s="12"/>
      <c r="E32" s="12"/>
      <c r="G32" t="s">
        <v>0</v>
      </c>
      <c r="H32" t="s">
        <v>110</v>
      </c>
      <c r="I32" t="s">
        <v>88</v>
      </c>
      <c r="J32" t="s">
        <v>120</v>
      </c>
      <c r="K32" s="15">
        <v>5000</v>
      </c>
      <c r="L32" s="15"/>
      <c r="M32" t="str">
        <f t="shared" si="1"/>
        <v>2011-12Mapping</v>
      </c>
      <c r="N32" s="5" t="s">
        <v>279</v>
      </c>
    </row>
    <row r="33" spans="1:19">
      <c r="A33" t="s">
        <v>145</v>
      </c>
      <c r="B33" s="8">
        <f>SUM(B14:D14)/'Exchange rates'!H$5</f>
        <v>62873.223426886689</v>
      </c>
      <c r="C33" s="11">
        <f t="shared" si="2"/>
        <v>0.1138785702211379</v>
      </c>
      <c r="G33" t="s">
        <v>0</v>
      </c>
      <c r="H33" t="s">
        <v>110</v>
      </c>
      <c r="I33" t="s">
        <v>88</v>
      </c>
      <c r="J33" t="s">
        <v>121</v>
      </c>
      <c r="K33" s="15">
        <v>39555000</v>
      </c>
      <c r="L33" s="15"/>
      <c r="M33" t="str">
        <f t="shared" si="1"/>
        <v>2011-12Mapping</v>
      </c>
      <c r="N33" s="5" t="s">
        <v>279</v>
      </c>
    </row>
    <row r="34" spans="1:19">
      <c r="A34" t="s">
        <v>3</v>
      </c>
      <c r="B34" s="8">
        <f>SUM(B15:D15)/'Exchange rates'!H$5</f>
        <v>36458.181215391109</v>
      </c>
      <c r="C34" s="11">
        <f t="shared" si="2"/>
        <v>6.6034558487364531E-2</v>
      </c>
      <c r="G34" t="s">
        <v>0</v>
      </c>
      <c r="H34" t="s">
        <v>110</v>
      </c>
      <c r="I34" t="s">
        <v>88</v>
      </c>
      <c r="J34" t="s">
        <v>122</v>
      </c>
      <c r="K34" s="15">
        <v>55000</v>
      </c>
      <c r="L34" s="15"/>
      <c r="M34" t="str">
        <f t="shared" si="1"/>
        <v>2011-12Mapping</v>
      </c>
      <c r="N34" s="5" t="s">
        <v>279</v>
      </c>
    </row>
    <row r="35" spans="1:19">
      <c r="A35" t="s">
        <v>159</v>
      </c>
      <c r="B35" s="8">
        <f>SUM(B16:D16)/'Exchange rates'!H$5</f>
        <v>12481.803076170139</v>
      </c>
      <c r="C35" s="11">
        <f t="shared" si="2"/>
        <v>2.2607555500140208E-2</v>
      </c>
      <c r="G35" t="s">
        <v>0</v>
      </c>
      <c r="H35" t="s">
        <v>110</v>
      </c>
      <c r="I35" t="s">
        <v>123</v>
      </c>
      <c r="J35" t="s">
        <v>91</v>
      </c>
      <c r="K35" s="15">
        <v>1078000</v>
      </c>
      <c r="L35" s="15"/>
      <c r="M35" t="str">
        <f t="shared" si="1"/>
        <v>2011-12MDASupervision</v>
      </c>
      <c r="N35" s="5" t="s">
        <v>279</v>
      </c>
    </row>
    <row r="36" spans="1:19">
      <c r="G36" t="s">
        <v>0</v>
      </c>
      <c r="H36" t="s">
        <v>15</v>
      </c>
      <c r="I36" t="s">
        <v>58</v>
      </c>
      <c r="J36" t="s">
        <v>29</v>
      </c>
      <c r="K36" s="15">
        <v>6438000</v>
      </c>
      <c r="L36" s="15"/>
      <c r="M36" t="str">
        <f t="shared" si="1"/>
        <v>2011-12Central Administration</v>
      </c>
      <c r="N36" s="5" t="s">
        <v>279</v>
      </c>
    </row>
    <row r="37" spans="1:19">
      <c r="A37" t="s">
        <v>33</v>
      </c>
      <c r="B37" s="8">
        <f>SUM(B24:B35)</f>
        <v>552107.59412236011</v>
      </c>
      <c r="C37" s="11">
        <f>SUM(C24:C35)</f>
        <v>1</v>
      </c>
      <c r="G37" t="s">
        <v>0</v>
      </c>
      <c r="H37" t="s">
        <v>15</v>
      </c>
      <c r="I37" t="s">
        <v>58</v>
      </c>
      <c r="J37" t="s">
        <v>124</v>
      </c>
      <c r="K37" s="15">
        <v>32550000</v>
      </c>
      <c r="L37" s="15"/>
      <c r="M37" t="str">
        <f t="shared" si="1"/>
        <v>2011-12Central Administration</v>
      </c>
      <c r="N37" s="5" t="s">
        <v>279</v>
      </c>
    </row>
    <row r="38" spans="1:19">
      <c r="G38" t="s">
        <v>0</v>
      </c>
      <c r="H38" t="s">
        <v>15</v>
      </c>
      <c r="I38" t="s">
        <v>58</v>
      </c>
      <c r="J38" t="s">
        <v>125</v>
      </c>
      <c r="K38" s="15">
        <v>2349000</v>
      </c>
      <c r="L38" s="15"/>
      <c r="M38" t="str">
        <f t="shared" si="1"/>
        <v>2011-12Central Administration</v>
      </c>
      <c r="N38" s="5" t="s">
        <v>279</v>
      </c>
    </row>
    <row r="39" spans="1:19">
      <c r="B39" s="7"/>
      <c r="G39" t="s">
        <v>0</v>
      </c>
      <c r="H39" t="s">
        <v>15</v>
      </c>
      <c r="I39" t="s">
        <v>58</v>
      </c>
      <c r="J39" t="s">
        <v>103</v>
      </c>
      <c r="K39" s="15">
        <v>8003000</v>
      </c>
      <c r="L39" s="15"/>
      <c r="M39" t="str">
        <f t="shared" si="1"/>
        <v>2011-12Central Administration</v>
      </c>
      <c r="N39" s="5" t="s">
        <v>279</v>
      </c>
    </row>
    <row r="40" spans="1:19">
      <c r="G40" t="s">
        <v>0</v>
      </c>
      <c r="H40" t="s">
        <v>15</v>
      </c>
      <c r="I40" t="s">
        <v>58</v>
      </c>
      <c r="J40" t="s">
        <v>104</v>
      </c>
      <c r="K40" s="15">
        <v>16088035</v>
      </c>
      <c r="L40" s="15"/>
      <c r="M40" t="str">
        <f t="shared" si="1"/>
        <v>2011-12Central Administration</v>
      </c>
      <c r="N40" s="5" t="s">
        <v>279</v>
      </c>
    </row>
    <row r="41" spans="1:19">
      <c r="G41" t="s">
        <v>0</v>
      </c>
      <c r="H41" t="s">
        <v>15</v>
      </c>
      <c r="I41" t="s">
        <v>58</v>
      </c>
      <c r="J41" t="s">
        <v>126</v>
      </c>
      <c r="K41" s="15">
        <v>838384</v>
      </c>
      <c r="L41" s="15"/>
      <c r="M41" t="str">
        <f t="shared" si="1"/>
        <v>2011-12Central Administration</v>
      </c>
      <c r="N41" s="5" t="s">
        <v>279</v>
      </c>
    </row>
    <row r="42" spans="1:19">
      <c r="G42" t="s">
        <v>0</v>
      </c>
      <c r="H42" t="s">
        <v>127</v>
      </c>
      <c r="I42" t="s">
        <v>123</v>
      </c>
      <c r="J42" t="s">
        <v>91</v>
      </c>
      <c r="K42" s="15">
        <v>1786000</v>
      </c>
      <c r="L42" s="15"/>
      <c r="M42" t="str">
        <f t="shared" si="1"/>
        <v>2011-12MDASupervision</v>
      </c>
      <c r="N42" s="5" t="s">
        <v>279</v>
      </c>
    </row>
    <row r="43" spans="1:19">
      <c r="G43" t="s">
        <v>0</v>
      </c>
      <c r="H43" t="s">
        <v>127</v>
      </c>
      <c r="I43" t="s">
        <v>123</v>
      </c>
      <c r="J43" t="s">
        <v>128</v>
      </c>
      <c r="K43" s="15">
        <v>2450000</v>
      </c>
      <c r="L43" s="15"/>
      <c r="M43" t="str">
        <f t="shared" si="1"/>
        <v>2011-12MDASupervision</v>
      </c>
      <c r="N43" s="5" t="s">
        <v>279</v>
      </c>
    </row>
    <row r="44" spans="1:19">
      <c r="G44" t="s">
        <v>0</v>
      </c>
      <c r="H44" t="s">
        <v>129</v>
      </c>
      <c r="I44" t="s">
        <v>123</v>
      </c>
      <c r="J44" t="s">
        <v>130</v>
      </c>
      <c r="K44" s="15">
        <v>3601000</v>
      </c>
      <c r="L44" s="15"/>
      <c r="M44" t="str">
        <f t="shared" si="1"/>
        <v>2011-12MDASupervision</v>
      </c>
      <c r="N44" s="5" t="s">
        <v>279</v>
      </c>
    </row>
    <row r="45" spans="1:19">
      <c r="G45" t="s">
        <v>0</v>
      </c>
      <c r="H45" t="s">
        <v>129</v>
      </c>
      <c r="I45" t="s">
        <v>123</v>
      </c>
      <c r="J45" t="s">
        <v>91</v>
      </c>
      <c r="K45" s="15">
        <v>1445000</v>
      </c>
      <c r="L45" s="15"/>
      <c r="M45" t="str">
        <f t="shared" si="1"/>
        <v>2011-12MDASupervision</v>
      </c>
      <c r="N45" s="5" t="s">
        <v>279</v>
      </c>
    </row>
    <row r="46" spans="1:19">
      <c r="G46" t="s">
        <v>0</v>
      </c>
      <c r="H46" t="s">
        <v>131</v>
      </c>
      <c r="I46" t="s">
        <v>21</v>
      </c>
      <c r="J46" t="s">
        <v>132</v>
      </c>
      <c r="K46" s="15">
        <v>37744800</v>
      </c>
      <c r="L46" s="15"/>
      <c r="M46" t="str">
        <f t="shared" si="1"/>
        <v>2011-12Advocacy</v>
      </c>
      <c r="N46" s="5" t="s">
        <v>279</v>
      </c>
    </row>
    <row r="47" spans="1:19">
      <c r="G47" t="s">
        <v>1</v>
      </c>
      <c r="H47" t="s">
        <v>87</v>
      </c>
      <c r="I47" t="s">
        <v>159</v>
      </c>
      <c r="J47" t="s">
        <v>133</v>
      </c>
      <c r="K47" s="15">
        <v>6536250</v>
      </c>
      <c r="L47" s="15"/>
      <c r="M47" t="str">
        <f t="shared" si="1"/>
        <v>2012-13Unknown</v>
      </c>
      <c r="N47" s="5" t="s">
        <v>279</v>
      </c>
      <c r="S47" s="15"/>
    </row>
    <row r="48" spans="1:19">
      <c r="G48" t="s">
        <v>1</v>
      </c>
      <c r="H48" t="s">
        <v>87</v>
      </c>
      <c r="I48" t="s">
        <v>159</v>
      </c>
      <c r="J48" t="s">
        <v>134</v>
      </c>
      <c r="K48" s="15">
        <v>4367460</v>
      </c>
      <c r="L48" s="15"/>
      <c r="M48" t="str">
        <f t="shared" si="1"/>
        <v>2012-13Unknown</v>
      </c>
      <c r="N48" s="5" t="s">
        <v>279</v>
      </c>
    </row>
    <row r="49" spans="7:14">
      <c r="G49" t="s">
        <v>1</v>
      </c>
      <c r="H49" t="s">
        <v>87</v>
      </c>
      <c r="I49" t="s">
        <v>159</v>
      </c>
      <c r="J49" t="s">
        <v>135</v>
      </c>
      <c r="K49" s="15">
        <v>3471060</v>
      </c>
      <c r="L49" s="15"/>
      <c r="M49" t="str">
        <f t="shared" si="1"/>
        <v>2012-13Unknown</v>
      </c>
      <c r="N49" s="5" t="s">
        <v>279</v>
      </c>
    </row>
    <row r="50" spans="7:14">
      <c r="G50" t="s">
        <v>1</v>
      </c>
      <c r="H50" t="s">
        <v>93</v>
      </c>
      <c r="I50" t="s">
        <v>88</v>
      </c>
      <c r="J50" t="s">
        <v>136</v>
      </c>
      <c r="K50" s="15">
        <v>4425362</v>
      </c>
      <c r="L50" s="15"/>
      <c r="M50" t="str">
        <f t="shared" si="1"/>
        <v>2012-13Mapping</v>
      </c>
      <c r="N50" s="5" t="s">
        <v>279</v>
      </c>
    </row>
    <row r="51" spans="7:14">
      <c r="G51" t="s">
        <v>1</v>
      </c>
      <c r="H51" t="s">
        <v>93</v>
      </c>
      <c r="I51" t="s">
        <v>97</v>
      </c>
      <c r="J51" t="s">
        <v>137</v>
      </c>
      <c r="K51" s="15">
        <v>2360000</v>
      </c>
      <c r="L51" s="15"/>
      <c r="M51" t="str">
        <f t="shared" si="1"/>
        <v>2012-13Monitoring and Evaluation</v>
      </c>
      <c r="N51" s="5" t="s">
        <v>279</v>
      </c>
    </row>
    <row r="52" spans="7:14">
      <c r="G52" t="s">
        <v>1</v>
      </c>
      <c r="H52" t="s">
        <v>93</v>
      </c>
      <c r="I52" t="s">
        <v>56</v>
      </c>
      <c r="J52" t="s">
        <v>138</v>
      </c>
      <c r="K52" s="15">
        <v>20719725</v>
      </c>
      <c r="L52" s="15"/>
      <c r="M52" t="str">
        <f t="shared" si="1"/>
        <v>2012-13Drug Logistics</v>
      </c>
      <c r="N52" s="5" t="s">
        <v>279</v>
      </c>
    </row>
    <row r="53" spans="7:14">
      <c r="G53" t="s">
        <v>1</v>
      </c>
      <c r="H53" t="s">
        <v>139</v>
      </c>
      <c r="I53" t="s">
        <v>140</v>
      </c>
      <c r="J53" t="s">
        <v>130</v>
      </c>
      <c r="K53" s="15">
        <v>3960000</v>
      </c>
      <c r="L53" s="15"/>
      <c r="M53" t="str">
        <f t="shared" si="1"/>
        <v>2012-13Data Management &amp; Reporting</v>
      </c>
      <c r="N53" s="5" t="s">
        <v>279</v>
      </c>
    </row>
    <row r="54" spans="7:14">
      <c r="G54" t="s">
        <v>1</v>
      </c>
      <c r="H54" t="s">
        <v>139</v>
      </c>
      <c r="I54" t="s">
        <v>140</v>
      </c>
      <c r="J54" t="s">
        <v>91</v>
      </c>
      <c r="K54" s="15">
        <v>940000</v>
      </c>
      <c r="L54" s="15"/>
      <c r="M54" t="str">
        <f t="shared" si="1"/>
        <v>2012-13Data Management &amp; Reporting</v>
      </c>
      <c r="N54" s="5" t="s">
        <v>279</v>
      </c>
    </row>
    <row r="55" spans="7:14">
      <c r="G55" t="s">
        <v>1</v>
      </c>
      <c r="H55" t="s">
        <v>139</v>
      </c>
      <c r="I55" t="s">
        <v>140</v>
      </c>
      <c r="J55" t="s">
        <v>141</v>
      </c>
      <c r="K55" s="15">
        <v>2100000</v>
      </c>
      <c r="L55" s="15"/>
      <c r="M55" t="str">
        <f t="shared" si="1"/>
        <v>2012-13Data Management &amp; Reporting</v>
      </c>
      <c r="N55" s="5" t="s">
        <v>279</v>
      </c>
    </row>
    <row r="56" spans="7:14">
      <c r="G56" t="s">
        <v>1</v>
      </c>
      <c r="H56" t="s">
        <v>142</v>
      </c>
      <c r="I56" t="s">
        <v>58</v>
      </c>
      <c r="J56" t="s">
        <v>29</v>
      </c>
      <c r="K56" s="15">
        <v>110000</v>
      </c>
      <c r="L56" s="15"/>
      <c r="M56" t="str">
        <f t="shared" si="1"/>
        <v>2012-13Central Administration</v>
      </c>
      <c r="N56" s="5" t="s">
        <v>279</v>
      </c>
    </row>
    <row r="57" spans="7:14">
      <c r="G57" t="s">
        <v>1</v>
      </c>
      <c r="H57" t="s">
        <v>142</v>
      </c>
      <c r="I57" t="s">
        <v>58</v>
      </c>
      <c r="J57" t="s">
        <v>124</v>
      </c>
      <c r="K57" s="15">
        <v>165000</v>
      </c>
      <c r="L57" s="15"/>
      <c r="M57" t="str">
        <f t="shared" si="1"/>
        <v>2012-13Central Administration</v>
      </c>
      <c r="N57" s="5" t="s">
        <v>279</v>
      </c>
    </row>
    <row r="58" spans="7:14">
      <c r="G58" t="s">
        <v>1</v>
      </c>
      <c r="H58" t="s">
        <v>142</v>
      </c>
      <c r="I58" t="s">
        <v>58</v>
      </c>
      <c r="J58" t="s">
        <v>143</v>
      </c>
      <c r="K58" s="15">
        <v>228000</v>
      </c>
      <c r="L58" s="15"/>
      <c r="M58" t="str">
        <f t="shared" si="1"/>
        <v>2012-13Central Administration</v>
      </c>
      <c r="N58" s="5" t="s">
        <v>279</v>
      </c>
    </row>
    <row r="59" spans="7:14">
      <c r="G59" t="s">
        <v>1</v>
      </c>
      <c r="H59" t="s">
        <v>142</v>
      </c>
      <c r="I59" t="s">
        <v>88</v>
      </c>
      <c r="J59" t="s">
        <v>130</v>
      </c>
      <c r="K59" s="15">
        <v>5820000</v>
      </c>
      <c r="L59" s="15"/>
      <c r="M59" t="str">
        <f t="shared" si="1"/>
        <v>2012-13Mapping</v>
      </c>
      <c r="N59" s="5" t="s">
        <v>279</v>
      </c>
    </row>
    <row r="60" spans="7:14">
      <c r="G60" t="s">
        <v>1</v>
      </c>
      <c r="H60" t="s">
        <v>142</v>
      </c>
      <c r="I60" t="s">
        <v>88</v>
      </c>
      <c r="J60" t="s">
        <v>125</v>
      </c>
      <c r="K60" s="15">
        <v>129500</v>
      </c>
      <c r="L60" s="15"/>
      <c r="M60" t="str">
        <f t="shared" si="1"/>
        <v>2012-13Mapping</v>
      </c>
      <c r="N60" s="5" t="s">
        <v>279</v>
      </c>
    </row>
    <row r="61" spans="7:14">
      <c r="G61" t="s">
        <v>1</v>
      </c>
      <c r="H61" t="s">
        <v>142</v>
      </c>
      <c r="I61" t="s">
        <v>88</v>
      </c>
      <c r="J61" t="s">
        <v>104</v>
      </c>
      <c r="K61" s="15">
        <v>216000</v>
      </c>
      <c r="L61" s="15"/>
      <c r="M61" t="str">
        <f t="shared" si="1"/>
        <v>2012-13Mapping</v>
      </c>
      <c r="N61" s="5" t="s">
        <v>279</v>
      </c>
    </row>
    <row r="62" spans="7:14">
      <c r="G62" t="s">
        <v>1</v>
      </c>
      <c r="H62" t="s">
        <v>142</v>
      </c>
      <c r="I62" t="s">
        <v>88</v>
      </c>
      <c r="J62" t="s">
        <v>91</v>
      </c>
      <c r="K62" s="15">
        <v>2337000</v>
      </c>
      <c r="L62" s="15"/>
      <c r="M62" t="str">
        <f t="shared" si="1"/>
        <v>2012-13Mapping</v>
      </c>
      <c r="N62" s="5" t="s">
        <v>279</v>
      </c>
    </row>
    <row r="63" spans="7:14">
      <c r="G63" t="s">
        <v>1</v>
      </c>
      <c r="H63" t="s">
        <v>142</v>
      </c>
      <c r="I63" t="s">
        <v>88</v>
      </c>
      <c r="J63" t="s">
        <v>144</v>
      </c>
      <c r="K63" s="15">
        <v>570000</v>
      </c>
      <c r="L63" s="15"/>
      <c r="M63" t="str">
        <f t="shared" si="1"/>
        <v>2012-13Mapping</v>
      </c>
      <c r="N63" s="5" t="s">
        <v>279</v>
      </c>
    </row>
    <row r="64" spans="7:14">
      <c r="G64" t="s">
        <v>1</v>
      </c>
      <c r="H64" t="s">
        <v>106</v>
      </c>
      <c r="I64" s="12" t="s">
        <v>163</v>
      </c>
      <c r="J64" t="s">
        <v>146</v>
      </c>
      <c r="K64" s="15">
        <v>159300000</v>
      </c>
      <c r="L64" s="15"/>
      <c r="M64" t="str">
        <f t="shared" si="1"/>
        <v>2012-13Drug Distribution</v>
      </c>
      <c r="N64" s="5" t="s">
        <v>279</v>
      </c>
    </row>
    <row r="65" spans="7:14">
      <c r="G65" t="s">
        <v>1</v>
      </c>
      <c r="H65" t="s">
        <v>106</v>
      </c>
      <c r="I65" t="s">
        <v>71</v>
      </c>
      <c r="J65" t="s">
        <v>147</v>
      </c>
      <c r="K65" s="15">
        <v>30000</v>
      </c>
      <c r="L65" s="15"/>
      <c r="M65" t="str">
        <f t="shared" si="1"/>
        <v>2012-13Social Mobilisation</v>
      </c>
      <c r="N65" s="5" t="s">
        <v>279</v>
      </c>
    </row>
    <row r="66" spans="7:14">
      <c r="G66" t="s">
        <v>1</v>
      </c>
      <c r="H66" t="s">
        <v>106</v>
      </c>
      <c r="I66" t="s">
        <v>71</v>
      </c>
      <c r="J66" t="s">
        <v>148</v>
      </c>
      <c r="K66" s="15">
        <v>49970000</v>
      </c>
      <c r="L66" s="15"/>
      <c r="M66" t="str">
        <f t="shared" si="1"/>
        <v>2012-13Social Mobilisation</v>
      </c>
      <c r="N66" s="5" t="s">
        <v>279</v>
      </c>
    </row>
    <row r="67" spans="7:14">
      <c r="G67" t="s">
        <v>1</v>
      </c>
      <c r="H67" t="s">
        <v>106</v>
      </c>
      <c r="I67" t="s">
        <v>71</v>
      </c>
      <c r="J67" t="s">
        <v>149</v>
      </c>
      <c r="K67" s="15">
        <v>5350000</v>
      </c>
      <c r="L67" s="15"/>
      <c r="M67" t="str">
        <f t="shared" si="1"/>
        <v>2012-13Social Mobilisation</v>
      </c>
      <c r="N67" s="5" t="s">
        <v>279</v>
      </c>
    </row>
    <row r="68" spans="7:14">
      <c r="G68" t="s">
        <v>1</v>
      </c>
      <c r="H68" t="s">
        <v>106</v>
      </c>
      <c r="I68" t="s">
        <v>71</v>
      </c>
      <c r="J68" t="s">
        <v>150</v>
      </c>
      <c r="K68" s="15">
        <v>90650000</v>
      </c>
      <c r="L68" s="15"/>
      <c r="M68" t="str">
        <f t="shared" si="1"/>
        <v>2012-13Social Mobilisation</v>
      </c>
      <c r="N68" s="5" t="s">
        <v>279</v>
      </c>
    </row>
    <row r="69" spans="7:14">
      <c r="G69" t="s">
        <v>1</v>
      </c>
      <c r="H69" t="s">
        <v>88</v>
      </c>
      <c r="I69" t="s">
        <v>88</v>
      </c>
      <c r="J69" t="s">
        <v>130</v>
      </c>
      <c r="K69" s="15">
        <v>68030000</v>
      </c>
      <c r="L69" s="15"/>
      <c r="M69" t="str">
        <f t="shared" ref="M69:M108" si="3">G69&amp;I69</f>
        <v>2012-13Mapping</v>
      </c>
      <c r="N69" s="5" t="s">
        <v>279</v>
      </c>
    </row>
    <row r="70" spans="7:14">
      <c r="G70" t="s">
        <v>1</v>
      </c>
      <c r="H70" t="s">
        <v>88</v>
      </c>
      <c r="I70" t="s">
        <v>88</v>
      </c>
      <c r="J70" t="s">
        <v>111</v>
      </c>
      <c r="K70" s="15">
        <v>6336000</v>
      </c>
      <c r="L70" s="15"/>
      <c r="M70" t="str">
        <f t="shared" si="3"/>
        <v>2012-13Mapping</v>
      </c>
      <c r="N70" s="5" t="s">
        <v>279</v>
      </c>
    </row>
    <row r="71" spans="7:14">
      <c r="G71" t="s">
        <v>1</v>
      </c>
      <c r="H71" t="s">
        <v>88</v>
      </c>
      <c r="I71" t="s">
        <v>88</v>
      </c>
      <c r="J71" t="s">
        <v>125</v>
      </c>
      <c r="K71" s="15">
        <v>200000</v>
      </c>
      <c r="L71" s="15"/>
      <c r="M71" t="str">
        <f t="shared" si="3"/>
        <v>2012-13Mapping</v>
      </c>
      <c r="N71" s="5" t="s">
        <v>279</v>
      </c>
    </row>
    <row r="72" spans="7:14">
      <c r="G72" t="s">
        <v>1</v>
      </c>
      <c r="H72" t="s">
        <v>88</v>
      </c>
      <c r="I72" t="s">
        <v>88</v>
      </c>
      <c r="J72" t="s">
        <v>104</v>
      </c>
      <c r="K72" s="15">
        <v>13581000</v>
      </c>
      <c r="L72" s="15"/>
      <c r="M72" t="str">
        <f t="shared" si="3"/>
        <v>2012-13Mapping</v>
      </c>
      <c r="N72" s="5" t="s">
        <v>279</v>
      </c>
    </row>
    <row r="73" spans="7:14">
      <c r="G73" t="s">
        <v>1</v>
      </c>
      <c r="H73" t="s">
        <v>88</v>
      </c>
      <c r="I73" t="s">
        <v>88</v>
      </c>
      <c r="J73" t="s">
        <v>91</v>
      </c>
      <c r="K73" s="15">
        <v>27319000</v>
      </c>
      <c r="L73" s="15"/>
      <c r="M73" t="str">
        <f t="shared" si="3"/>
        <v>2012-13Mapping</v>
      </c>
      <c r="N73" s="5" t="s">
        <v>279</v>
      </c>
    </row>
    <row r="74" spans="7:14">
      <c r="G74" t="s">
        <v>1</v>
      </c>
      <c r="H74" t="s">
        <v>3</v>
      </c>
      <c r="I74" t="s">
        <v>3</v>
      </c>
      <c r="J74" t="s">
        <v>130</v>
      </c>
      <c r="K74" s="15">
        <v>53511000</v>
      </c>
      <c r="L74" s="15"/>
      <c r="M74" t="str">
        <f t="shared" si="3"/>
        <v>2012-13MDA</v>
      </c>
      <c r="N74" s="5" t="s">
        <v>279</v>
      </c>
    </row>
    <row r="75" spans="7:14">
      <c r="G75" t="s">
        <v>1</v>
      </c>
      <c r="H75" t="s">
        <v>3</v>
      </c>
      <c r="I75" t="s">
        <v>3</v>
      </c>
      <c r="J75" t="s">
        <v>151</v>
      </c>
      <c r="K75" s="15">
        <v>298600</v>
      </c>
      <c r="L75" s="15"/>
      <c r="M75" t="str">
        <f t="shared" si="3"/>
        <v>2012-13MDA</v>
      </c>
      <c r="N75" s="5" t="s">
        <v>279</v>
      </c>
    </row>
    <row r="76" spans="7:14">
      <c r="G76" t="s">
        <v>1</v>
      </c>
      <c r="H76" t="s">
        <v>3</v>
      </c>
      <c r="I76" t="s">
        <v>3</v>
      </c>
      <c r="J76" t="s">
        <v>125</v>
      </c>
      <c r="K76" s="15">
        <v>535000</v>
      </c>
      <c r="L76" s="15"/>
      <c r="M76" t="str">
        <f t="shared" si="3"/>
        <v>2012-13MDA</v>
      </c>
      <c r="N76" s="5" t="s">
        <v>279</v>
      </c>
    </row>
    <row r="77" spans="7:14">
      <c r="G77" t="s">
        <v>1</v>
      </c>
      <c r="H77" t="s">
        <v>3</v>
      </c>
      <c r="I77" t="s">
        <v>3</v>
      </c>
      <c r="J77" t="s">
        <v>103</v>
      </c>
      <c r="K77" s="15">
        <v>507500</v>
      </c>
      <c r="L77" s="15"/>
      <c r="M77" t="str">
        <f t="shared" si="3"/>
        <v>2012-13MDA</v>
      </c>
      <c r="N77" s="5" t="s">
        <v>279</v>
      </c>
    </row>
    <row r="78" spans="7:14">
      <c r="G78" t="s">
        <v>1</v>
      </c>
      <c r="H78" t="s">
        <v>3</v>
      </c>
      <c r="I78" t="s">
        <v>3</v>
      </c>
      <c r="J78" t="s">
        <v>91</v>
      </c>
      <c r="K78" s="15">
        <v>16669900</v>
      </c>
      <c r="L78" s="15"/>
      <c r="M78" t="str">
        <f t="shared" si="3"/>
        <v>2012-13MDA</v>
      </c>
      <c r="N78" s="5" t="s">
        <v>279</v>
      </c>
    </row>
    <row r="79" spans="7:14">
      <c r="G79" t="s">
        <v>1</v>
      </c>
      <c r="H79" t="s">
        <v>3</v>
      </c>
      <c r="I79" t="s">
        <v>3</v>
      </c>
      <c r="J79" t="s">
        <v>152</v>
      </c>
      <c r="K79" s="15">
        <v>2400000</v>
      </c>
      <c r="L79" s="15"/>
      <c r="M79" t="str">
        <f t="shared" si="3"/>
        <v>2012-13MDA</v>
      </c>
      <c r="N79" s="5" t="s">
        <v>279</v>
      </c>
    </row>
    <row r="80" spans="7:14">
      <c r="G80" t="s">
        <v>1</v>
      </c>
      <c r="H80" t="s">
        <v>3</v>
      </c>
      <c r="I80" t="s">
        <v>3</v>
      </c>
      <c r="J80" t="s">
        <v>141</v>
      </c>
      <c r="K80" s="15">
        <v>18451000</v>
      </c>
      <c r="L80" s="15"/>
      <c r="M80" t="str">
        <f t="shared" si="3"/>
        <v>2012-13MDA</v>
      </c>
      <c r="N80" s="5" t="s">
        <v>279</v>
      </c>
    </row>
    <row r="81" spans="7:14">
      <c r="G81" t="s">
        <v>1</v>
      </c>
      <c r="H81" t="s">
        <v>15</v>
      </c>
      <c r="I81" t="s">
        <v>58</v>
      </c>
      <c r="J81" t="s">
        <v>29</v>
      </c>
      <c r="K81" s="15">
        <v>19274040</v>
      </c>
      <c r="L81" s="15"/>
      <c r="M81" t="str">
        <f t="shared" si="3"/>
        <v>2012-13Central Administration</v>
      </c>
      <c r="N81" s="5" t="s">
        <v>279</v>
      </c>
    </row>
    <row r="82" spans="7:14">
      <c r="G82" t="s">
        <v>1</v>
      </c>
      <c r="H82" t="s">
        <v>15</v>
      </c>
      <c r="I82" t="s">
        <v>58</v>
      </c>
      <c r="J82" t="s">
        <v>111</v>
      </c>
      <c r="K82" s="15">
        <v>530000</v>
      </c>
      <c r="L82" s="15"/>
      <c r="M82" t="str">
        <f t="shared" si="3"/>
        <v>2012-13Central Administration</v>
      </c>
      <c r="N82" s="5" t="s">
        <v>279</v>
      </c>
    </row>
    <row r="83" spans="7:14">
      <c r="G83" t="s">
        <v>1</v>
      </c>
      <c r="H83" t="s">
        <v>15</v>
      </c>
      <c r="I83" t="s">
        <v>58</v>
      </c>
      <c r="J83" t="s">
        <v>124</v>
      </c>
      <c r="K83" s="15">
        <v>58358360</v>
      </c>
      <c r="L83" s="15"/>
      <c r="M83" t="str">
        <f t="shared" si="3"/>
        <v>2012-13Central Administration</v>
      </c>
      <c r="N83" s="5" t="s">
        <v>279</v>
      </c>
    </row>
    <row r="84" spans="7:14">
      <c r="G84" t="s">
        <v>1</v>
      </c>
      <c r="H84" t="s">
        <v>15</v>
      </c>
      <c r="I84" t="s">
        <v>58</v>
      </c>
      <c r="J84" t="s">
        <v>125</v>
      </c>
      <c r="K84" s="15">
        <v>15438470</v>
      </c>
      <c r="L84" s="15"/>
      <c r="M84" t="str">
        <f t="shared" si="3"/>
        <v>2012-13Central Administration</v>
      </c>
      <c r="N84" s="5" t="s">
        <v>279</v>
      </c>
    </row>
    <row r="85" spans="7:14">
      <c r="G85" t="s">
        <v>1</v>
      </c>
      <c r="H85" t="s">
        <v>15</v>
      </c>
      <c r="I85" t="s">
        <v>58</v>
      </c>
      <c r="J85" t="s">
        <v>103</v>
      </c>
      <c r="K85" s="15">
        <v>7846400</v>
      </c>
      <c r="L85" s="15"/>
      <c r="M85" t="str">
        <f t="shared" si="3"/>
        <v>2012-13Central Administration</v>
      </c>
      <c r="N85" s="5" t="s">
        <v>279</v>
      </c>
    </row>
    <row r="86" spans="7:14">
      <c r="G86" t="s">
        <v>1</v>
      </c>
      <c r="H86" t="s">
        <v>15</v>
      </c>
      <c r="I86" t="s">
        <v>58</v>
      </c>
      <c r="J86" t="s">
        <v>104</v>
      </c>
      <c r="K86" s="15">
        <v>48069374</v>
      </c>
      <c r="L86" s="15"/>
      <c r="M86" t="str">
        <f t="shared" si="3"/>
        <v>2012-13Central Administration</v>
      </c>
      <c r="N86" s="5" t="s">
        <v>279</v>
      </c>
    </row>
    <row r="87" spans="7:14">
      <c r="G87" t="s">
        <v>1</v>
      </c>
      <c r="H87" t="s">
        <v>15</v>
      </c>
      <c r="I87" t="s">
        <v>58</v>
      </c>
      <c r="J87" t="s">
        <v>143</v>
      </c>
      <c r="K87" s="15">
        <v>5787500</v>
      </c>
      <c r="L87" s="15"/>
      <c r="M87" t="str">
        <f t="shared" si="3"/>
        <v>2012-13Central Administration</v>
      </c>
      <c r="N87" s="5" t="s">
        <v>279</v>
      </c>
    </row>
    <row r="88" spans="7:14">
      <c r="G88" t="s">
        <v>1</v>
      </c>
      <c r="H88" t="s">
        <v>15</v>
      </c>
      <c r="I88" t="s">
        <v>58</v>
      </c>
      <c r="J88" t="s">
        <v>126</v>
      </c>
      <c r="K88" s="15">
        <v>932636</v>
      </c>
      <c r="L88" s="15"/>
      <c r="M88" t="str">
        <f t="shared" si="3"/>
        <v>2012-13Central Administration</v>
      </c>
      <c r="N88" s="5" t="s">
        <v>279</v>
      </c>
    </row>
    <row r="89" spans="7:14">
      <c r="G89" t="s">
        <v>1</v>
      </c>
      <c r="H89" t="s">
        <v>15</v>
      </c>
      <c r="I89" t="s">
        <v>58</v>
      </c>
      <c r="J89" t="s">
        <v>153</v>
      </c>
      <c r="K89" s="15">
        <v>300000</v>
      </c>
      <c r="L89" s="15"/>
      <c r="M89" t="str">
        <f t="shared" si="3"/>
        <v>2012-13Central Administration</v>
      </c>
      <c r="N89" s="5" t="s">
        <v>279</v>
      </c>
    </row>
    <row r="90" spans="7:14">
      <c r="G90" t="s">
        <v>1</v>
      </c>
      <c r="H90" t="s">
        <v>15</v>
      </c>
      <c r="I90" t="s">
        <v>58</v>
      </c>
      <c r="J90" t="s">
        <v>154</v>
      </c>
      <c r="K90" s="15">
        <v>2550000</v>
      </c>
      <c r="L90" s="15"/>
      <c r="M90" t="str">
        <f t="shared" si="3"/>
        <v>2012-13Central Administration</v>
      </c>
      <c r="N90" s="5" t="s">
        <v>279</v>
      </c>
    </row>
    <row r="91" spans="7:14">
      <c r="G91" t="s">
        <v>1</v>
      </c>
      <c r="H91" t="s">
        <v>15</v>
      </c>
      <c r="I91" t="s">
        <v>88</v>
      </c>
      <c r="J91" t="s">
        <v>104</v>
      </c>
      <c r="K91" s="15">
        <v>1305000</v>
      </c>
      <c r="L91" s="15"/>
      <c r="M91" t="str">
        <f t="shared" si="3"/>
        <v>2012-13Mapping</v>
      </c>
      <c r="N91" s="5" t="s">
        <v>279</v>
      </c>
    </row>
    <row r="92" spans="7:14">
      <c r="G92" t="s">
        <v>1</v>
      </c>
      <c r="H92" t="s">
        <v>15</v>
      </c>
      <c r="I92" t="s">
        <v>97</v>
      </c>
      <c r="J92" t="s">
        <v>155</v>
      </c>
      <c r="K92" s="15">
        <v>329677</v>
      </c>
      <c r="L92" s="15"/>
      <c r="M92" t="str">
        <f t="shared" si="3"/>
        <v>2012-13Monitoring and Evaluation</v>
      </c>
      <c r="N92" s="5" t="s">
        <v>279</v>
      </c>
    </row>
    <row r="93" spans="7:14">
      <c r="G93" t="s">
        <v>1</v>
      </c>
      <c r="H93" t="s">
        <v>156</v>
      </c>
      <c r="I93" t="s">
        <v>71</v>
      </c>
      <c r="J93" t="s">
        <v>103</v>
      </c>
      <c r="K93" s="15">
        <v>3000000</v>
      </c>
      <c r="L93" s="15"/>
      <c r="M93" t="str">
        <f t="shared" si="3"/>
        <v>2012-13Social Mobilisation</v>
      </c>
      <c r="N93" s="5" t="s">
        <v>279</v>
      </c>
    </row>
    <row r="94" spans="7:14">
      <c r="G94" t="s">
        <v>2</v>
      </c>
      <c r="H94" t="s">
        <v>93</v>
      </c>
      <c r="I94" t="s">
        <v>56</v>
      </c>
      <c r="J94" t="s">
        <v>138</v>
      </c>
      <c r="K94" s="15">
        <v>10921778</v>
      </c>
      <c r="L94" s="15"/>
      <c r="M94" t="str">
        <f t="shared" si="3"/>
        <v>2013-14Drug Logistics</v>
      </c>
      <c r="N94" s="5" t="s">
        <v>279</v>
      </c>
    </row>
    <row r="95" spans="7:14">
      <c r="G95" t="s">
        <v>2</v>
      </c>
      <c r="H95" t="s">
        <v>93</v>
      </c>
      <c r="I95" t="s">
        <v>97</v>
      </c>
      <c r="J95" t="s">
        <v>157</v>
      </c>
      <c r="K95" s="15">
        <v>563376</v>
      </c>
      <c r="L95" s="15"/>
      <c r="M95" t="str">
        <f t="shared" si="3"/>
        <v>2013-14Monitoring and Evaluation</v>
      </c>
      <c r="N95" s="5" t="s">
        <v>279</v>
      </c>
    </row>
    <row r="96" spans="7:14">
      <c r="G96" t="s">
        <v>2</v>
      </c>
      <c r="H96" t="s">
        <v>93</v>
      </c>
      <c r="I96" t="s">
        <v>97</v>
      </c>
      <c r="J96" t="s">
        <v>136</v>
      </c>
      <c r="K96" s="15">
        <v>2127894</v>
      </c>
      <c r="L96" s="15"/>
      <c r="M96" t="str">
        <f t="shared" si="3"/>
        <v>2013-14Monitoring and Evaluation</v>
      </c>
      <c r="N96" s="5" t="s">
        <v>279</v>
      </c>
    </row>
    <row r="97" spans="7:14">
      <c r="G97" t="s">
        <v>2</v>
      </c>
      <c r="H97" t="s">
        <v>110</v>
      </c>
      <c r="I97" t="s">
        <v>88</v>
      </c>
      <c r="J97" t="s">
        <v>130</v>
      </c>
      <c r="K97" s="15">
        <v>37285000</v>
      </c>
      <c r="L97" s="15"/>
      <c r="M97" t="str">
        <f t="shared" si="3"/>
        <v>2013-14Mapping</v>
      </c>
      <c r="N97" s="5" t="s">
        <v>279</v>
      </c>
    </row>
    <row r="98" spans="7:14">
      <c r="G98" t="s">
        <v>2</v>
      </c>
      <c r="H98" t="s">
        <v>110</v>
      </c>
      <c r="I98" t="s">
        <v>88</v>
      </c>
      <c r="J98" t="s">
        <v>111</v>
      </c>
      <c r="K98" s="15">
        <v>1432198</v>
      </c>
      <c r="L98" s="15"/>
      <c r="M98" t="str">
        <f t="shared" si="3"/>
        <v>2013-14Mapping</v>
      </c>
      <c r="N98" s="5" t="s">
        <v>279</v>
      </c>
    </row>
    <row r="99" spans="7:14">
      <c r="G99" t="s">
        <v>2</v>
      </c>
      <c r="H99" t="s">
        <v>110</v>
      </c>
      <c r="I99" t="s">
        <v>88</v>
      </c>
      <c r="J99" t="s">
        <v>125</v>
      </c>
      <c r="K99" s="15">
        <v>200000</v>
      </c>
      <c r="L99" s="15"/>
      <c r="M99" t="str">
        <f t="shared" si="3"/>
        <v>2013-14Mapping</v>
      </c>
      <c r="N99" s="5" t="s">
        <v>279</v>
      </c>
    </row>
    <row r="100" spans="7:14">
      <c r="G100" t="s">
        <v>2</v>
      </c>
      <c r="H100" t="s">
        <v>110</v>
      </c>
      <c r="I100" t="s">
        <v>88</v>
      </c>
      <c r="J100" t="s">
        <v>104</v>
      </c>
      <c r="K100" s="15">
        <v>1500000</v>
      </c>
      <c r="L100" s="15"/>
      <c r="M100" t="str">
        <f t="shared" si="3"/>
        <v>2013-14Mapping</v>
      </c>
      <c r="N100" s="5" t="s">
        <v>279</v>
      </c>
    </row>
    <row r="101" spans="7:14">
      <c r="G101" t="s">
        <v>2</v>
      </c>
      <c r="H101" t="s">
        <v>110</v>
      </c>
      <c r="I101" t="s">
        <v>88</v>
      </c>
      <c r="J101" t="s">
        <v>91</v>
      </c>
      <c r="K101" s="15">
        <v>6582802</v>
      </c>
      <c r="L101" s="15"/>
      <c r="M101" t="str">
        <f t="shared" si="3"/>
        <v>2013-14Mapping</v>
      </c>
      <c r="N101" s="5" t="s">
        <v>279</v>
      </c>
    </row>
    <row r="102" spans="7:14">
      <c r="G102" t="s">
        <v>2</v>
      </c>
      <c r="H102" t="s">
        <v>15</v>
      </c>
      <c r="I102" t="s">
        <v>58</v>
      </c>
      <c r="J102" t="s">
        <v>29</v>
      </c>
      <c r="K102" s="15">
        <v>7243000</v>
      </c>
      <c r="L102" s="15"/>
      <c r="M102" t="str">
        <f t="shared" si="3"/>
        <v>2013-14Central Administration</v>
      </c>
      <c r="N102" s="5" t="s">
        <v>279</v>
      </c>
    </row>
    <row r="103" spans="7:14">
      <c r="G103" t="s">
        <v>2</v>
      </c>
      <c r="H103" t="s">
        <v>15</v>
      </c>
      <c r="I103" t="s">
        <v>58</v>
      </c>
      <c r="J103" t="s">
        <v>124</v>
      </c>
      <c r="K103" s="15">
        <v>39855000</v>
      </c>
      <c r="L103" s="15"/>
      <c r="M103" t="str">
        <f t="shared" si="3"/>
        <v>2013-14Central Administration</v>
      </c>
      <c r="N103" s="5" t="s">
        <v>279</v>
      </c>
    </row>
    <row r="104" spans="7:14">
      <c r="G104" t="s">
        <v>2</v>
      </c>
      <c r="H104" t="s">
        <v>15</v>
      </c>
      <c r="I104" t="s">
        <v>58</v>
      </c>
      <c r="J104" t="s">
        <v>125</v>
      </c>
      <c r="K104" s="15">
        <v>1940000</v>
      </c>
      <c r="L104" s="15"/>
      <c r="M104" t="str">
        <f t="shared" si="3"/>
        <v>2013-14Central Administration</v>
      </c>
      <c r="N104" s="5" t="s">
        <v>279</v>
      </c>
    </row>
    <row r="105" spans="7:14">
      <c r="G105" t="s">
        <v>2</v>
      </c>
      <c r="H105" t="s">
        <v>15</v>
      </c>
      <c r="I105" t="s">
        <v>58</v>
      </c>
      <c r="J105" t="s">
        <v>103</v>
      </c>
      <c r="K105" s="15">
        <v>5462000</v>
      </c>
      <c r="L105" s="15"/>
      <c r="M105" t="str">
        <f t="shared" si="3"/>
        <v>2013-14Central Administration</v>
      </c>
      <c r="N105" s="5" t="s">
        <v>279</v>
      </c>
    </row>
    <row r="106" spans="7:14">
      <c r="G106" t="s">
        <v>2</v>
      </c>
      <c r="H106" t="s">
        <v>15</v>
      </c>
      <c r="I106" t="s">
        <v>58</v>
      </c>
      <c r="J106" t="s">
        <v>104</v>
      </c>
      <c r="K106" s="15">
        <v>10179710</v>
      </c>
      <c r="L106" s="15"/>
      <c r="M106" t="str">
        <f t="shared" si="3"/>
        <v>2013-14Central Administration</v>
      </c>
      <c r="N106" s="5" t="s">
        <v>279</v>
      </c>
    </row>
    <row r="107" spans="7:14">
      <c r="G107" t="s">
        <v>2</v>
      </c>
      <c r="H107" t="s">
        <v>15</v>
      </c>
      <c r="I107" t="s">
        <v>58</v>
      </c>
      <c r="J107" t="s">
        <v>143</v>
      </c>
      <c r="K107" s="15">
        <v>908000</v>
      </c>
      <c r="L107" s="15"/>
      <c r="M107" t="str">
        <f t="shared" si="3"/>
        <v>2013-14Central Administration</v>
      </c>
      <c r="N107" s="5" t="s">
        <v>279</v>
      </c>
    </row>
    <row r="108" spans="7:14">
      <c r="G108" t="s">
        <v>2</v>
      </c>
      <c r="H108" t="s">
        <v>15</v>
      </c>
      <c r="I108" t="s">
        <v>58</v>
      </c>
      <c r="J108" t="s">
        <v>126</v>
      </c>
      <c r="K108" s="15">
        <v>464000</v>
      </c>
      <c r="L108" s="15"/>
      <c r="M108" t="str">
        <f t="shared" si="3"/>
        <v>2013-14Central Administration</v>
      </c>
      <c r="N108" s="5" t="s">
        <v>279</v>
      </c>
    </row>
    <row r="109" spans="7:14">
      <c r="K109" s="15"/>
      <c r="L109" s="15"/>
    </row>
    <row r="110" spans="7:14">
      <c r="K110" s="15"/>
      <c r="L110" s="15"/>
    </row>
    <row r="111" spans="7:14">
      <c r="K111" s="15"/>
      <c r="L111" s="1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activeCell="L1" sqref="L1:O1048576"/>
    </sheetView>
  </sheetViews>
  <sheetFormatPr baseColWidth="10" defaultRowHeight="15" x14ac:dyDescent="0"/>
  <cols>
    <col min="1" max="1" width="21.1640625" customWidth="1"/>
    <col min="2" max="5" width="13.5" customWidth="1"/>
    <col min="6" max="6" width="3.1640625" style="5" customWidth="1"/>
    <col min="7" max="7" width="10" customWidth="1"/>
    <col min="8" max="8" width="29.33203125" customWidth="1"/>
    <col min="9" max="9" width="21.83203125" customWidth="1"/>
    <col min="10" max="10" width="12.33203125" customWidth="1"/>
    <col min="11" max="11" width="2" style="5" customWidth="1"/>
    <col min="14" max="14" width="11.6640625" customWidth="1"/>
    <col min="15" max="15" width="11.5" bestFit="1" customWidth="1"/>
  </cols>
  <sheetData>
    <row r="1" spans="1:11">
      <c r="A1" s="3" t="s">
        <v>169</v>
      </c>
      <c r="G1" s="3" t="s">
        <v>168</v>
      </c>
    </row>
    <row r="3" spans="1:11">
      <c r="B3" t="s">
        <v>176</v>
      </c>
      <c r="C3" t="s">
        <v>1</v>
      </c>
      <c r="D3" t="s">
        <v>177</v>
      </c>
      <c r="E3" t="s">
        <v>208</v>
      </c>
      <c r="F3" s="5" t="s">
        <v>279</v>
      </c>
      <c r="G3" s="19" t="s">
        <v>172</v>
      </c>
      <c r="H3" s="19" t="s">
        <v>170</v>
      </c>
      <c r="I3" s="19" t="s">
        <v>171</v>
      </c>
      <c r="J3" s="19" t="s">
        <v>33</v>
      </c>
    </row>
    <row r="4" spans="1:11">
      <c r="B4" t="s">
        <v>173</v>
      </c>
      <c r="G4" t="s">
        <v>0</v>
      </c>
      <c r="H4" t="s">
        <v>159</v>
      </c>
      <c r="I4" t="s">
        <v>159</v>
      </c>
      <c r="J4" s="13">
        <v>6637049.9100000001</v>
      </c>
      <c r="K4" s="5" t="s">
        <v>279</v>
      </c>
    </row>
    <row r="5" spans="1:11">
      <c r="A5" t="s">
        <v>13</v>
      </c>
      <c r="B5" s="13">
        <f t="shared" ref="B5:B11" si="0">INDEX(J$4:J$11,MATCH(A5,I$4:I$11,0))</f>
        <v>1848626.73</v>
      </c>
      <c r="C5" s="13">
        <f t="shared" ref="C5:C14" si="1">INDEX(J$13:J$22,MATCH(A5,I$13:I$22,0))</f>
        <v>2954014.44</v>
      </c>
      <c r="D5" s="13">
        <f t="shared" ref="D5:D12" si="2">INDEX(J$24:J$31,MATCH(A5,I$24:I$31,0))</f>
        <v>2075323.51</v>
      </c>
      <c r="E5" s="13" t="s">
        <v>241</v>
      </c>
      <c r="F5" s="5" t="s">
        <v>279</v>
      </c>
      <c r="G5" t="s">
        <v>0</v>
      </c>
      <c r="H5" t="s">
        <v>164</v>
      </c>
      <c r="I5" t="s">
        <v>13</v>
      </c>
      <c r="J5" s="13">
        <v>1848626.73</v>
      </c>
      <c r="K5" s="5" t="s">
        <v>279</v>
      </c>
    </row>
    <row r="6" spans="1:11">
      <c r="A6" t="s">
        <v>5</v>
      </c>
      <c r="B6" s="13">
        <f t="shared" si="0"/>
        <v>4494600</v>
      </c>
      <c r="C6" s="13">
        <f t="shared" si="1"/>
        <v>23184275.98</v>
      </c>
      <c r="D6" s="13">
        <f t="shared" si="2"/>
        <v>8788783.1799999997</v>
      </c>
      <c r="E6" s="13" t="s">
        <v>238</v>
      </c>
      <c r="F6" s="5" t="s">
        <v>279</v>
      </c>
      <c r="G6" t="s">
        <v>0</v>
      </c>
      <c r="H6" t="s">
        <v>5</v>
      </c>
      <c r="I6" t="s">
        <v>5</v>
      </c>
      <c r="J6" s="13">
        <v>4494600</v>
      </c>
      <c r="K6" s="5" t="s">
        <v>279</v>
      </c>
    </row>
    <row r="7" spans="1:11">
      <c r="A7" t="s">
        <v>88</v>
      </c>
      <c r="B7" s="13">
        <f t="shared" si="0"/>
        <v>12632004</v>
      </c>
      <c r="C7" s="13">
        <f t="shared" si="1"/>
        <v>2049000</v>
      </c>
      <c r="D7" s="13">
        <f t="shared" si="2"/>
        <v>10198417</v>
      </c>
      <c r="E7" s="13" t="s">
        <v>239</v>
      </c>
      <c r="F7" s="5" t="s">
        <v>279</v>
      </c>
      <c r="G7" t="s">
        <v>0</v>
      </c>
      <c r="H7" t="s">
        <v>88</v>
      </c>
      <c r="I7" t="s">
        <v>88</v>
      </c>
      <c r="J7" s="13">
        <v>12632004</v>
      </c>
      <c r="K7" s="5" t="s">
        <v>279</v>
      </c>
    </row>
    <row r="8" spans="1:11">
      <c r="A8" t="s">
        <v>3</v>
      </c>
      <c r="B8" s="13">
        <f t="shared" si="0"/>
        <v>14629626</v>
      </c>
      <c r="C8" s="13">
        <f t="shared" si="1"/>
        <v>37159903.200000003</v>
      </c>
      <c r="D8" s="13">
        <f t="shared" si="2"/>
        <v>5244000</v>
      </c>
      <c r="E8" s="13" t="s">
        <v>237</v>
      </c>
      <c r="F8" s="5" t="s">
        <v>279</v>
      </c>
      <c r="G8" t="s">
        <v>0</v>
      </c>
      <c r="H8" t="s">
        <v>3</v>
      </c>
      <c r="I8" t="s">
        <v>3</v>
      </c>
      <c r="J8" s="13">
        <v>14629626</v>
      </c>
      <c r="K8" s="5" t="s">
        <v>279</v>
      </c>
    </row>
    <row r="9" spans="1:11">
      <c r="A9" t="s">
        <v>58</v>
      </c>
      <c r="B9" s="13">
        <f t="shared" si="0"/>
        <v>1954518.48</v>
      </c>
      <c r="C9" s="13">
        <f t="shared" si="1"/>
        <v>10039565.519999998</v>
      </c>
      <c r="D9" s="13">
        <f t="shared" si="2"/>
        <v>4821581.9799999995</v>
      </c>
      <c r="E9" s="13" t="s">
        <v>240</v>
      </c>
      <c r="F9" s="5" t="s">
        <v>279</v>
      </c>
      <c r="G9" t="s">
        <v>0</v>
      </c>
      <c r="H9" t="s">
        <v>57</v>
      </c>
      <c r="I9" t="s">
        <v>58</v>
      </c>
      <c r="J9" s="13">
        <v>1954518.48</v>
      </c>
      <c r="K9" s="5" t="s">
        <v>279</v>
      </c>
    </row>
    <row r="10" spans="1:11">
      <c r="A10" t="s">
        <v>166</v>
      </c>
      <c r="B10" s="13">
        <f t="shared" si="0"/>
        <v>2482200</v>
      </c>
      <c r="C10" s="13">
        <f t="shared" si="1"/>
        <v>2253000</v>
      </c>
      <c r="D10" s="13">
        <f t="shared" si="2"/>
        <v>2432800</v>
      </c>
      <c r="E10" s="13" t="s">
        <v>242</v>
      </c>
      <c r="F10" s="5" t="s">
        <v>279</v>
      </c>
      <c r="G10" t="s">
        <v>0</v>
      </c>
      <c r="H10" t="s">
        <v>165</v>
      </c>
      <c r="I10" t="s">
        <v>166</v>
      </c>
      <c r="J10" s="13">
        <v>2482200</v>
      </c>
      <c r="K10" s="5" t="s">
        <v>279</v>
      </c>
    </row>
    <row r="11" spans="1:11">
      <c r="A11" t="s">
        <v>18</v>
      </c>
      <c r="B11" s="13">
        <f t="shared" si="0"/>
        <v>2550000</v>
      </c>
      <c r="C11" s="13">
        <f t="shared" si="1"/>
        <v>2800000</v>
      </c>
      <c r="D11" s="13">
        <f t="shared" si="2"/>
        <v>635000</v>
      </c>
      <c r="E11" s="13" t="s">
        <v>242</v>
      </c>
      <c r="F11" s="5" t="s">
        <v>279</v>
      </c>
      <c r="G11" t="s">
        <v>0</v>
      </c>
      <c r="H11" t="s">
        <v>167</v>
      </c>
      <c r="I11" t="s">
        <v>18</v>
      </c>
      <c r="J11" s="13">
        <v>2550000</v>
      </c>
      <c r="K11" s="5" t="s">
        <v>279</v>
      </c>
    </row>
    <row r="12" spans="1:11">
      <c r="A12" t="s">
        <v>21</v>
      </c>
      <c r="B12" s="13">
        <v>0</v>
      </c>
      <c r="C12" s="13">
        <f t="shared" si="1"/>
        <v>227713</v>
      </c>
      <c r="D12" s="13">
        <f t="shared" si="2"/>
        <v>840136.3</v>
      </c>
      <c r="E12" s="13" t="s">
        <v>243</v>
      </c>
      <c r="F12" s="5" t="s">
        <v>279</v>
      </c>
      <c r="K12" s="5" t="s">
        <v>279</v>
      </c>
    </row>
    <row r="13" spans="1:11">
      <c r="A13" t="s">
        <v>7</v>
      </c>
      <c r="B13" s="13">
        <v>0</v>
      </c>
      <c r="C13" s="13">
        <f t="shared" si="1"/>
        <v>462637.34</v>
      </c>
      <c r="D13" s="13">
        <v>0</v>
      </c>
      <c r="E13" s="13" t="s">
        <v>244</v>
      </c>
      <c r="F13" s="5" t="s">
        <v>279</v>
      </c>
      <c r="G13" t="s">
        <v>1</v>
      </c>
      <c r="H13" t="s">
        <v>159</v>
      </c>
      <c r="I13" t="s">
        <v>159</v>
      </c>
      <c r="J13" s="13">
        <v>57500</v>
      </c>
      <c r="K13" s="5" t="s">
        <v>279</v>
      </c>
    </row>
    <row r="14" spans="1:11">
      <c r="A14" t="s">
        <v>159</v>
      </c>
      <c r="B14" s="13">
        <f>INDEX(J$4:J$11,MATCH(A14,I$4:I$11,0))</f>
        <v>6637049.9100000001</v>
      </c>
      <c r="C14" s="13">
        <f t="shared" si="1"/>
        <v>57500</v>
      </c>
      <c r="D14" s="13">
        <v>0</v>
      </c>
      <c r="E14" s="13"/>
      <c r="G14" t="s">
        <v>1</v>
      </c>
      <c r="H14" t="s">
        <v>164</v>
      </c>
      <c r="I14" t="s">
        <v>13</v>
      </c>
      <c r="J14" s="13">
        <v>2954014.44</v>
      </c>
      <c r="K14" s="5" t="s">
        <v>279</v>
      </c>
    </row>
    <row r="15" spans="1:11">
      <c r="B15" s="13"/>
      <c r="C15" s="13"/>
      <c r="D15" s="13"/>
      <c r="E15" s="13"/>
      <c r="G15" t="s">
        <v>1</v>
      </c>
      <c r="H15" t="s">
        <v>5</v>
      </c>
      <c r="I15" t="s">
        <v>5</v>
      </c>
      <c r="J15" s="13">
        <v>23184275.98</v>
      </c>
      <c r="K15" s="5" t="s">
        <v>279</v>
      </c>
    </row>
    <row r="16" spans="1:11">
      <c r="A16" t="s">
        <v>33</v>
      </c>
      <c r="B16" s="13">
        <f>SUM(B5:B14)</f>
        <v>47228625.120000005</v>
      </c>
      <c r="C16" s="13">
        <f t="shared" ref="C16:D16" si="3">SUM(C5:C14)</f>
        <v>81187609.480000004</v>
      </c>
      <c r="D16" s="13">
        <f t="shared" si="3"/>
        <v>35036041.969999999</v>
      </c>
      <c r="E16" s="13"/>
      <c r="G16" t="s">
        <v>1</v>
      </c>
      <c r="H16" t="s">
        <v>88</v>
      </c>
      <c r="I16" t="s">
        <v>88</v>
      </c>
      <c r="J16" s="13">
        <v>2049000</v>
      </c>
      <c r="K16" s="5" t="s">
        <v>279</v>
      </c>
    </row>
    <row r="17" spans="1:11">
      <c r="G17" t="s">
        <v>1</v>
      </c>
      <c r="H17" t="s">
        <v>3</v>
      </c>
      <c r="I17" t="s">
        <v>3</v>
      </c>
      <c r="J17" s="13">
        <v>37159903.200000003</v>
      </c>
      <c r="K17" s="5" t="s">
        <v>279</v>
      </c>
    </row>
    <row r="18" spans="1:11">
      <c r="A18" s="5"/>
      <c r="B18" s="5"/>
      <c r="C18" s="5"/>
      <c r="D18" s="5"/>
      <c r="E18" s="5"/>
      <c r="G18" t="s">
        <v>1</v>
      </c>
      <c r="H18" t="s">
        <v>57</v>
      </c>
      <c r="I18" t="s">
        <v>58</v>
      </c>
      <c r="J18" s="13">
        <v>10039565.519999998</v>
      </c>
      <c r="K18" s="5" t="s">
        <v>279</v>
      </c>
    </row>
    <row r="19" spans="1:11">
      <c r="G19" t="s">
        <v>1</v>
      </c>
      <c r="H19" t="s">
        <v>71</v>
      </c>
      <c r="I19" t="s">
        <v>21</v>
      </c>
      <c r="J19" s="13">
        <v>227713</v>
      </c>
      <c r="K19" s="5" t="s">
        <v>279</v>
      </c>
    </row>
    <row r="20" spans="1:11">
      <c r="A20" s="3" t="s">
        <v>38</v>
      </c>
      <c r="G20" t="s">
        <v>1</v>
      </c>
      <c r="H20" t="s">
        <v>165</v>
      </c>
      <c r="I20" t="s">
        <v>166</v>
      </c>
      <c r="J20" s="13">
        <v>2253000</v>
      </c>
      <c r="K20" s="5" t="s">
        <v>279</v>
      </c>
    </row>
    <row r="21" spans="1:11">
      <c r="G21" t="s">
        <v>1</v>
      </c>
      <c r="H21" t="s">
        <v>167</v>
      </c>
      <c r="I21" t="s">
        <v>18</v>
      </c>
      <c r="J21" s="13">
        <v>2800000</v>
      </c>
      <c r="K21" s="5" t="s">
        <v>279</v>
      </c>
    </row>
    <row r="22" spans="1:11">
      <c r="B22" t="s">
        <v>175</v>
      </c>
      <c r="G22" t="s">
        <v>1</v>
      </c>
      <c r="H22" t="s">
        <v>7</v>
      </c>
      <c r="I22" t="s">
        <v>7</v>
      </c>
      <c r="J22" s="13">
        <v>462637.34</v>
      </c>
      <c r="K22" s="5" t="s">
        <v>279</v>
      </c>
    </row>
    <row r="23" spans="1:11">
      <c r="A23" t="s">
        <v>13</v>
      </c>
      <c r="B23" s="8">
        <f>SUM(B5:D5)/'Exchange rates'!K$5</f>
        <v>25171.972815008106</v>
      </c>
      <c r="C23" s="11">
        <f>B23/B$34</f>
        <v>4.2079344652348381E-2</v>
      </c>
      <c r="K23" s="5" t="s">
        <v>279</v>
      </c>
    </row>
    <row r="24" spans="1:11">
      <c r="A24" t="s">
        <v>5</v>
      </c>
      <c r="B24" s="8">
        <f>SUM(B6:D6)/'Exchange rates'!K$5</f>
        <v>133464.32668835708</v>
      </c>
      <c r="C24" s="11">
        <f t="shared" ref="C24:C32" si="4">B24/B$34</f>
        <v>0.22310890937259212</v>
      </c>
      <c r="G24" t="s">
        <v>2</v>
      </c>
      <c r="H24" t="s">
        <v>164</v>
      </c>
      <c r="I24" t="s">
        <v>13</v>
      </c>
      <c r="J24" s="13">
        <v>2075323.51</v>
      </c>
      <c r="K24" s="5" t="s">
        <v>279</v>
      </c>
    </row>
    <row r="25" spans="1:11">
      <c r="A25" t="s">
        <v>88</v>
      </c>
      <c r="B25" s="8">
        <f>SUM(B7:D7)/'Exchange rates'!K$5</f>
        <v>91053.696580649179</v>
      </c>
      <c r="C25" s="11">
        <f t="shared" si="4"/>
        <v>0.15221214119550758</v>
      </c>
      <c r="G25" t="s">
        <v>2</v>
      </c>
      <c r="H25" t="s">
        <v>5</v>
      </c>
      <c r="I25" t="s">
        <v>5</v>
      </c>
      <c r="J25" s="13">
        <v>8788783.1799999997</v>
      </c>
      <c r="K25" s="5" t="s">
        <v>279</v>
      </c>
    </row>
    <row r="26" spans="1:11">
      <c r="A26" t="s">
        <v>3</v>
      </c>
      <c r="B26" s="8">
        <f>SUM(B8:D8)/'Exchange rates'!K$5</f>
        <v>208731.29092113502</v>
      </c>
      <c r="C26" s="11">
        <f t="shared" si="4"/>
        <v>0.34893077292548352</v>
      </c>
      <c r="G26" t="s">
        <v>2</v>
      </c>
      <c r="H26" t="s">
        <v>88</v>
      </c>
      <c r="I26" t="s">
        <v>88</v>
      </c>
      <c r="J26" s="13">
        <v>10198417</v>
      </c>
      <c r="K26" s="5" t="s">
        <v>279</v>
      </c>
    </row>
    <row r="27" spans="1:11">
      <c r="A27" t="s">
        <v>58</v>
      </c>
      <c r="B27" s="8">
        <f>SUM(B9:D9)/'Exchange rates'!K$5</f>
        <v>61541.968679434482</v>
      </c>
      <c r="C27" s="11">
        <f t="shared" si="4"/>
        <v>0.10287813870122833</v>
      </c>
      <c r="G27" t="s">
        <v>2</v>
      </c>
      <c r="H27" t="s">
        <v>3</v>
      </c>
      <c r="I27" t="s">
        <v>3</v>
      </c>
      <c r="J27" s="13">
        <v>5244000</v>
      </c>
      <c r="K27" s="5" t="s">
        <v>279</v>
      </c>
    </row>
    <row r="28" spans="1:11">
      <c r="A28" t="s">
        <v>166</v>
      </c>
      <c r="B28" s="8">
        <f>SUM(B10:D10)/'Exchange rates'!K$5</f>
        <v>26233.443981276469</v>
      </c>
      <c r="C28" s="11">
        <f t="shared" si="4"/>
        <v>4.3853778915891914E-2</v>
      </c>
      <c r="G28" t="s">
        <v>2</v>
      </c>
      <c r="H28" t="s">
        <v>57</v>
      </c>
      <c r="I28" t="s">
        <v>58</v>
      </c>
      <c r="J28" s="13">
        <v>4821581.9799999995</v>
      </c>
      <c r="K28" s="5" t="s">
        <v>279</v>
      </c>
    </row>
    <row r="29" spans="1:11">
      <c r="A29" t="s">
        <v>18</v>
      </c>
      <c r="B29" s="8">
        <f>SUM(B11:D11)/'Exchange rates'!K$5</f>
        <v>21903.90098046033</v>
      </c>
      <c r="C29" s="11">
        <f t="shared" si="4"/>
        <v>3.6616192356530838E-2</v>
      </c>
      <c r="G29" t="s">
        <v>2</v>
      </c>
      <c r="H29" t="s">
        <v>71</v>
      </c>
      <c r="I29" t="s">
        <v>21</v>
      </c>
      <c r="J29" s="13">
        <v>840136.3</v>
      </c>
      <c r="K29" s="5" t="s">
        <v>279</v>
      </c>
    </row>
    <row r="30" spans="1:11">
      <c r="A30" t="s">
        <v>21</v>
      </c>
      <c r="B30" s="8">
        <f>SUM(B12:D12)/'Exchange rates'!K$5</f>
        <v>3908.1145078118429</v>
      </c>
      <c r="C30" s="11">
        <f t="shared" si="4"/>
        <v>6.5330953010170108E-3</v>
      </c>
      <c r="G30" t="s">
        <v>2</v>
      </c>
      <c r="H30" t="s">
        <v>165</v>
      </c>
      <c r="I30" t="s">
        <v>166</v>
      </c>
      <c r="J30" s="13">
        <v>2432800</v>
      </c>
      <c r="K30" s="5" t="s">
        <v>279</v>
      </c>
    </row>
    <row r="31" spans="1:11">
      <c r="A31" t="s">
        <v>7</v>
      </c>
      <c r="B31" s="8">
        <f>SUM(B13:D13)/'Exchange rates'!K$5</f>
        <v>1693.1599808226499</v>
      </c>
      <c r="C31" s="11">
        <f t="shared" si="4"/>
        <v>2.8304123362997095E-3</v>
      </c>
      <c r="G31" t="s">
        <v>2</v>
      </c>
      <c r="H31" t="s">
        <v>167</v>
      </c>
      <c r="I31" t="s">
        <v>18</v>
      </c>
      <c r="J31" s="13">
        <v>635000</v>
      </c>
      <c r="K31" s="5" t="s">
        <v>279</v>
      </c>
    </row>
    <row r="32" spans="1:11">
      <c r="A32" t="s">
        <v>159</v>
      </c>
      <c r="B32" s="8">
        <f>SUM(B14:D14)/'Exchange rates'!K$5</f>
        <v>24500.711501652404</v>
      </c>
      <c r="C32" s="11">
        <f t="shared" si="4"/>
        <v>4.0957214243100462E-2</v>
      </c>
      <c r="K32" s="5" t="s">
        <v>279</v>
      </c>
    </row>
    <row r="33" spans="1:11">
      <c r="K33" s="5" t="s">
        <v>279</v>
      </c>
    </row>
    <row r="34" spans="1:11">
      <c r="A34" t="s">
        <v>33</v>
      </c>
      <c r="B34" s="8">
        <f>SUM(B23:B32)</f>
        <v>598202.58663660765</v>
      </c>
      <c r="C34" s="11">
        <f>SUM(C23:C32)</f>
        <v>0.99999999999999978</v>
      </c>
      <c r="K34" s="5" t="s">
        <v>279</v>
      </c>
    </row>
    <row r="35" spans="1:11">
      <c r="K35" s="5" t="s">
        <v>279</v>
      </c>
    </row>
    <row r="36" spans="1:11">
      <c r="K36" s="5" t="s">
        <v>279</v>
      </c>
    </row>
    <row r="37" spans="1:11">
      <c r="K37" s="5" t="s">
        <v>279</v>
      </c>
    </row>
    <row r="38" spans="1:11">
      <c r="K38" s="5" t="s">
        <v>279</v>
      </c>
    </row>
    <row r="39" spans="1:11">
      <c r="K39" s="5" t="s">
        <v>279</v>
      </c>
    </row>
    <row r="40" spans="1:11">
      <c r="K40" s="5" t="s">
        <v>279</v>
      </c>
    </row>
    <row r="41" spans="1:11">
      <c r="K41" s="5" t="s">
        <v>279</v>
      </c>
    </row>
    <row r="42" spans="1:11">
      <c r="K42" s="5" t="s">
        <v>279</v>
      </c>
    </row>
    <row r="43" spans="1:11">
      <c r="K43" s="5" t="s">
        <v>279</v>
      </c>
    </row>
    <row r="44" spans="1:11">
      <c r="K44" s="5" t="s">
        <v>279</v>
      </c>
    </row>
    <row r="45" spans="1:11">
      <c r="K45" s="5" t="s">
        <v>279</v>
      </c>
    </row>
    <row r="46" spans="1:11">
      <c r="K46" s="5" t="s">
        <v>279</v>
      </c>
    </row>
    <row r="47" spans="1:11">
      <c r="K47" s="5" t="s">
        <v>279</v>
      </c>
    </row>
    <row r="48" spans="1:11">
      <c r="K48" s="5" t="s">
        <v>279</v>
      </c>
    </row>
    <row r="49" spans="11:11">
      <c r="K49" s="5" t="s">
        <v>279</v>
      </c>
    </row>
    <row r="50" spans="11:11">
      <c r="K50" s="5" t="s">
        <v>279</v>
      </c>
    </row>
    <row r="51" spans="11:11">
      <c r="K51" s="5" t="s">
        <v>279</v>
      </c>
    </row>
    <row r="52" spans="11:11">
      <c r="K52" s="5" t="s">
        <v>279</v>
      </c>
    </row>
    <row r="53" spans="11:11">
      <c r="K53" s="5" t="s">
        <v>279</v>
      </c>
    </row>
    <row r="54" spans="11:11">
      <c r="K54" s="5" t="s">
        <v>279</v>
      </c>
    </row>
    <row r="55" spans="11:11">
      <c r="K55" s="5" t="s">
        <v>279</v>
      </c>
    </row>
    <row r="56" spans="11:11">
      <c r="K56" s="5" t="s">
        <v>279</v>
      </c>
    </row>
    <row r="57" spans="11:11">
      <c r="K57" s="5" t="s">
        <v>279</v>
      </c>
    </row>
    <row r="58" spans="11:11">
      <c r="K58" s="5" t="s">
        <v>279</v>
      </c>
    </row>
    <row r="59" spans="11:11">
      <c r="K59" s="5" t="s">
        <v>279</v>
      </c>
    </row>
    <row r="60" spans="11:11">
      <c r="K60" s="5" t="s">
        <v>279</v>
      </c>
    </row>
    <row r="61" spans="11:11">
      <c r="K61" s="5" t="s">
        <v>279</v>
      </c>
    </row>
    <row r="62" spans="11:11">
      <c r="K62" s="5" t="s">
        <v>279</v>
      </c>
    </row>
    <row r="63" spans="11:11">
      <c r="K63" s="5" t="s">
        <v>279</v>
      </c>
    </row>
    <row r="64" spans="11:11">
      <c r="K64" s="5" t="s">
        <v>279</v>
      </c>
    </row>
    <row r="65" spans="11:11">
      <c r="K65" s="5" t="s">
        <v>279</v>
      </c>
    </row>
    <row r="66" spans="11:11">
      <c r="K66" s="5" t="s">
        <v>279</v>
      </c>
    </row>
    <row r="67" spans="11:11">
      <c r="K67" s="5" t="s">
        <v>279</v>
      </c>
    </row>
    <row r="68" spans="11:11">
      <c r="K68" s="5" t="s">
        <v>279</v>
      </c>
    </row>
    <row r="69" spans="11:11">
      <c r="K69" s="5" t="s">
        <v>279</v>
      </c>
    </row>
    <row r="70" spans="11:11">
      <c r="K70" s="5" t="s">
        <v>279</v>
      </c>
    </row>
    <row r="71" spans="11:11">
      <c r="K71" s="5" t="s">
        <v>279</v>
      </c>
    </row>
    <row r="72" spans="11:11">
      <c r="K72" s="5" t="s">
        <v>279</v>
      </c>
    </row>
    <row r="73" spans="11:11">
      <c r="K73" s="5" t="s">
        <v>279</v>
      </c>
    </row>
    <row r="74" spans="11:11">
      <c r="K74" s="5" t="s">
        <v>279</v>
      </c>
    </row>
    <row r="75" spans="11:11">
      <c r="K75" s="5" t="s">
        <v>279</v>
      </c>
    </row>
    <row r="76" spans="11:11">
      <c r="K76" s="5" t="s">
        <v>279</v>
      </c>
    </row>
    <row r="77" spans="11:11">
      <c r="K77" s="5" t="s">
        <v>279</v>
      </c>
    </row>
    <row r="78" spans="11:11">
      <c r="K78" s="5" t="s">
        <v>279</v>
      </c>
    </row>
    <row r="79" spans="11:11">
      <c r="K79" s="5" t="s">
        <v>279</v>
      </c>
    </row>
    <row r="80" spans="11:11">
      <c r="K80" s="5" t="s">
        <v>279</v>
      </c>
    </row>
    <row r="81" spans="11:11">
      <c r="K81" s="5" t="s">
        <v>279</v>
      </c>
    </row>
    <row r="82" spans="11:11">
      <c r="K82" s="5" t="s">
        <v>279</v>
      </c>
    </row>
    <row r="83" spans="11:11">
      <c r="K83" s="5" t="s">
        <v>279</v>
      </c>
    </row>
    <row r="84" spans="11:11">
      <c r="K84" s="5" t="s">
        <v>279</v>
      </c>
    </row>
    <row r="85" spans="11:11">
      <c r="K85" s="5" t="s">
        <v>279</v>
      </c>
    </row>
    <row r="86" spans="11:11">
      <c r="K86" s="5" t="s">
        <v>279</v>
      </c>
    </row>
    <row r="87" spans="11:11">
      <c r="K87" s="5" t="s">
        <v>279</v>
      </c>
    </row>
    <row r="88" spans="11:11">
      <c r="K88" s="5" t="s">
        <v>279</v>
      </c>
    </row>
    <row r="89" spans="11:11">
      <c r="K89" s="5" t="s">
        <v>279</v>
      </c>
    </row>
    <row r="90" spans="11:11">
      <c r="K90" s="5" t="s">
        <v>279</v>
      </c>
    </row>
    <row r="91" spans="11:11">
      <c r="K91" s="5" t="s">
        <v>279</v>
      </c>
    </row>
    <row r="92" spans="11:11">
      <c r="K92" s="5" t="s">
        <v>279</v>
      </c>
    </row>
    <row r="93" spans="11:11">
      <c r="K93" s="5" t="s">
        <v>279</v>
      </c>
    </row>
    <row r="94" spans="11:11">
      <c r="K94" s="5" t="s">
        <v>279</v>
      </c>
    </row>
    <row r="95" spans="11:11">
      <c r="K95" s="5" t="s">
        <v>279</v>
      </c>
    </row>
    <row r="96" spans="11:11">
      <c r="K96" s="5" t="s">
        <v>279</v>
      </c>
    </row>
    <row r="97" spans="11:11">
      <c r="K97" s="5" t="s">
        <v>279</v>
      </c>
    </row>
    <row r="98" spans="11:11">
      <c r="K98" s="5" t="s">
        <v>279</v>
      </c>
    </row>
    <row r="99" spans="11:11">
      <c r="K99" s="5" t="s">
        <v>279</v>
      </c>
    </row>
    <row r="100" spans="11:11">
      <c r="K100" s="5" t="s">
        <v>279</v>
      </c>
    </row>
    <row r="101" spans="11:11">
      <c r="K101" s="5" t="s">
        <v>279</v>
      </c>
    </row>
    <row r="102" spans="11:11">
      <c r="K102" s="5" t="s">
        <v>279</v>
      </c>
    </row>
    <row r="103" spans="11:11">
      <c r="K103" s="5" t="s">
        <v>279</v>
      </c>
    </row>
    <row r="104" spans="11:11">
      <c r="K104" s="5" t="s">
        <v>279</v>
      </c>
    </row>
    <row r="105" spans="11:11">
      <c r="K105" s="5" t="s">
        <v>279</v>
      </c>
    </row>
    <row r="106" spans="11:11">
      <c r="K106" s="5" t="s">
        <v>279</v>
      </c>
    </row>
    <row r="107" spans="11:11">
      <c r="K107" s="5" t="s">
        <v>279</v>
      </c>
    </row>
    <row r="108" spans="11:11">
      <c r="K108" s="5" t="s">
        <v>279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A2" sqref="A2"/>
    </sheetView>
  </sheetViews>
  <sheetFormatPr baseColWidth="10" defaultRowHeight="15" x14ac:dyDescent="0"/>
  <cols>
    <col min="1" max="1" width="14.1640625" customWidth="1"/>
    <col min="3" max="3" width="2.33203125" style="5" customWidth="1"/>
    <col min="4" max="4" width="15" customWidth="1"/>
    <col min="6" max="6" width="2.33203125" style="5" customWidth="1"/>
    <col min="7" max="7" width="14.5" customWidth="1"/>
    <col min="9" max="9" width="2.33203125" style="5" customWidth="1"/>
    <col min="10" max="10" width="14.83203125" customWidth="1"/>
    <col min="12" max="12" width="2.33203125" style="5" customWidth="1"/>
  </cols>
  <sheetData>
    <row r="1" spans="1:14">
      <c r="A1" t="s">
        <v>282</v>
      </c>
    </row>
    <row r="3" spans="1:14">
      <c r="A3" t="s">
        <v>48</v>
      </c>
      <c r="D3" t="s">
        <v>82</v>
      </c>
      <c r="G3" t="s">
        <v>162</v>
      </c>
      <c r="J3" t="s">
        <v>178</v>
      </c>
      <c r="M3" t="s">
        <v>280</v>
      </c>
    </row>
    <row r="5" spans="1:14">
      <c r="A5" t="s">
        <v>45</v>
      </c>
      <c r="B5">
        <v>498.23</v>
      </c>
      <c r="D5" t="s">
        <v>45</v>
      </c>
      <c r="E5" s="14">
        <v>1575.3</v>
      </c>
      <c r="G5" t="s">
        <v>45</v>
      </c>
      <c r="H5" s="14">
        <v>2533.67</v>
      </c>
      <c r="J5" t="s">
        <v>45</v>
      </c>
      <c r="K5">
        <v>273.23899999999998</v>
      </c>
      <c r="M5" t="s">
        <v>45</v>
      </c>
      <c r="N5">
        <v>0.62970000000000004</v>
      </c>
    </row>
    <row r="6" spans="1:14">
      <c r="A6" t="s">
        <v>46</v>
      </c>
      <c r="B6">
        <v>523.14700000000005</v>
      </c>
      <c r="D6" t="s">
        <v>46</v>
      </c>
      <c r="E6" s="14">
        <v>1719.02</v>
      </c>
      <c r="G6" t="s">
        <v>46</v>
      </c>
      <c r="H6" s="14">
        <v>2778.45</v>
      </c>
      <c r="J6" t="s">
        <v>46</v>
      </c>
      <c r="K6">
        <v>392.51600000000002</v>
      </c>
      <c r="M6" t="s">
        <v>46</v>
      </c>
      <c r="N6">
        <v>0.66269999999999996</v>
      </c>
    </row>
    <row r="7" spans="1:14">
      <c r="A7" t="s">
        <v>47</v>
      </c>
      <c r="B7">
        <v>469.21800000000002</v>
      </c>
      <c r="D7" t="s">
        <v>47</v>
      </c>
      <c r="E7" s="14">
        <v>1486.63</v>
      </c>
      <c r="G7" t="s">
        <v>47</v>
      </c>
      <c r="H7" s="14">
        <v>2291.5700000000002</v>
      </c>
      <c r="J7" t="s">
        <v>47</v>
      </c>
      <c r="K7">
        <v>162.499</v>
      </c>
      <c r="M7" t="s">
        <v>47</v>
      </c>
      <c r="N7">
        <v>0.60119999999999996</v>
      </c>
    </row>
    <row r="8" spans="1:14">
      <c r="A8" s="6">
        <v>41395</v>
      </c>
      <c r="B8">
        <v>505.14499999999998</v>
      </c>
      <c r="D8" s="6">
        <v>41456</v>
      </c>
      <c r="E8" s="14">
        <v>1587.72</v>
      </c>
      <c r="G8" s="6">
        <v>41487</v>
      </c>
      <c r="H8" s="14">
        <v>2549.6</v>
      </c>
      <c r="J8" s="6">
        <v>41487</v>
      </c>
      <c r="K8">
        <v>321.83499999999998</v>
      </c>
      <c r="M8" s="6">
        <v>41699</v>
      </c>
      <c r="N8">
        <v>0.60119999999999996</v>
      </c>
    </row>
    <row r="9" spans="1:14">
      <c r="A9" s="6">
        <v>41365</v>
      </c>
      <c r="B9">
        <v>504.25200000000001</v>
      </c>
      <c r="D9" s="6">
        <v>41426</v>
      </c>
      <c r="E9" s="14">
        <v>1597.21</v>
      </c>
      <c r="G9" s="6">
        <v>41456</v>
      </c>
      <c r="H9" s="14">
        <v>2558.17</v>
      </c>
      <c r="J9" s="6">
        <v>41456</v>
      </c>
      <c r="K9">
        <v>321.46800000000002</v>
      </c>
      <c r="M9" s="6">
        <v>41671</v>
      </c>
      <c r="N9">
        <v>0.60429999999999995</v>
      </c>
    </row>
    <row r="10" spans="1:14">
      <c r="A10" s="6">
        <v>41334</v>
      </c>
      <c r="B10">
        <v>505.46300000000002</v>
      </c>
      <c r="D10" s="6">
        <v>41395</v>
      </c>
      <c r="E10" s="14">
        <v>1593.63</v>
      </c>
      <c r="G10" s="6">
        <v>41426</v>
      </c>
      <c r="H10" s="14">
        <v>2563.9899999999998</v>
      </c>
      <c r="J10" s="6">
        <v>41426</v>
      </c>
      <c r="K10">
        <v>322.13499999999999</v>
      </c>
      <c r="M10" s="6">
        <v>41640</v>
      </c>
      <c r="N10">
        <v>0.60709999999999997</v>
      </c>
    </row>
    <row r="11" spans="1:14">
      <c r="A11" s="6">
        <v>41306</v>
      </c>
      <c r="B11">
        <v>490.00799999999998</v>
      </c>
      <c r="D11" s="6">
        <v>41365</v>
      </c>
      <c r="E11" s="14">
        <v>1583.26</v>
      </c>
      <c r="G11" s="6">
        <v>41395</v>
      </c>
      <c r="H11" s="14">
        <v>2555.14</v>
      </c>
      <c r="J11" s="6">
        <v>41395</v>
      </c>
      <c r="K11">
        <v>362.07600000000002</v>
      </c>
      <c r="M11" s="6">
        <v>41609</v>
      </c>
      <c r="N11">
        <v>0.61070000000000002</v>
      </c>
    </row>
    <row r="12" spans="1:14">
      <c r="A12" s="6">
        <v>41275</v>
      </c>
      <c r="B12">
        <v>494.09300000000002</v>
      </c>
      <c r="D12" s="6">
        <v>41334</v>
      </c>
      <c r="E12" s="14">
        <v>1595.33</v>
      </c>
      <c r="G12" s="6">
        <v>41365</v>
      </c>
      <c r="H12" s="14">
        <v>2542.62</v>
      </c>
      <c r="J12" s="6">
        <v>41365</v>
      </c>
      <c r="K12">
        <v>392.51600000000002</v>
      </c>
      <c r="M12" s="6">
        <v>41579</v>
      </c>
      <c r="N12">
        <v>0.62139999999999995</v>
      </c>
    </row>
    <row r="13" spans="1:14">
      <c r="A13" s="6">
        <v>41244</v>
      </c>
      <c r="B13">
        <v>500.51600000000002</v>
      </c>
      <c r="D13" s="6">
        <v>41306</v>
      </c>
      <c r="E13" s="14">
        <v>1600.96</v>
      </c>
      <c r="G13" s="6">
        <v>41334</v>
      </c>
      <c r="H13" s="14">
        <v>2604.71</v>
      </c>
      <c r="J13" s="6">
        <v>41334</v>
      </c>
      <c r="K13">
        <v>374.35500000000002</v>
      </c>
      <c r="M13" s="6">
        <v>41548</v>
      </c>
      <c r="N13">
        <v>0.62129999999999996</v>
      </c>
    </row>
    <row r="14" spans="1:14">
      <c r="A14" s="6">
        <v>41214</v>
      </c>
      <c r="B14">
        <v>511.327</v>
      </c>
      <c r="D14" s="6">
        <v>41275</v>
      </c>
      <c r="E14" s="14">
        <v>1575.88</v>
      </c>
      <c r="G14" s="6">
        <v>41306</v>
      </c>
      <c r="H14" s="14">
        <v>2628.88</v>
      </c>
      <c r="J14" s="6">
        <v>41306</v>
      </c>
      <c r="K14">
        <v>360.33300000000003</v>
      </c>
      <c r="M14" s="6">
        <v>41518</v>
      </c>
      <c r="N14">
        <v>0.63139999999999996</v>
      </c>
    </row>
    <row r="15" spans="1:14">
      <c r="A15" s="6">
        <v>41183</v>
      </c>
      <c r="B15">
        <v>504.62200000000001</v>
      </c>
      <c r="D15" s="6">
        <v>41244</v>
      </c>
      <c r="E15" s="14">
        <v>1571.31</v>
      </c>
      <c r="G15" s="6">
        <v>41275</v>
      </c>
      <c r="H15" s="14">
        <v>2646.94</v>
      </c>
      <c r="J15" s="6">
        <v>41275</v>
      </c>
      <c r="K15">
        <v>331.01600000000002</v>
      </c>
      <c r="M15" s="6">
        <v>41487</v>
      </c>
      <c r="N15">
        <v>0.64570000000000005</v>
      </c>
    </row>
    <row r="16" spans="1:14">
      <c r="A16" s="6">
        <v>41153</v>
      </c>
      <c r="B16">
        <v>500.37</v>
      </c>
      <c r="D16" s="6">
        <v>41214</v>
      </c>
      <c r="E16" s="14">
        <v>1573.39</v>
      </c>
      <c r="G16" s="6">
        <v>41244</v>
      </c>
      <c r="H16" s="14">
        <v>2638.41</v>
      </c>
      <c r="J16" s="6">
        <v>41244</v>
      </c>
      <c r="K16">
        <v>322.39100000000002</v>
      </c>
      <c r="M16" s="6">
        <v>41456</v>
      </c>
      <c r="N16">
        <v>0.65880000000000005</v>
      </c>
    </row>
    <row r="17" spans="1:14">
      <c r="A17" s="6">
        <v>41122</v>
      </c>
      <c r="B17">
        <v>523.14700000000005</v>
      </c>
      <c r="D17" s="6">
        <v>41183</v>
      </c>
      <c r="E17" s="14">
        <v>1555.19</v>
      </c>
      <c r="G17" s="6">
        <v>41214</v>
      </c>
      <c r="H17" s="14">
        <v>2580.71</v>
      </c>
      <c r="J17" s="6">
        <v>41214</v>
      </c>
      <c r="K17">
        <v>313.31299999999999</v>
      </c>
      <c r="M17" s="6">
        <v>41426</v>
      </c>
      <c r="N17">
        <v>0.64659999999999995</v>
      </c>
    </row>
    <row r="18" spans="1:14">
      <c r="A18" s="6">
        <v>41091</v>
      </c>
      <c r="B18">
        <v>522.12099999999998</v>
      </c>
      <c r="D18" s="6">
        <v>41153</v>
      </c>
      <c r="E18" s="14">
        <v>1547.97</v>
      </c>
      <c r="G18" s="6">
        <v>41183</v>
      </c>
      <c r="H18" s="14">
        <v>2545.15</v>
      </c>
      <c r="J18" s="6">
        <v>41183</v>
      </c>
      <c r="K18">
        <v>296.911</v>
      </c>
      <c r="M18" s="6">
        <v>41395</v>
      </c>
      <c r="N18">
        <v>0.6532</v>
      </c>
    </row>
    <row r="19" spans="1:14">
      <c r="A19" s="6">
        <v>41061</v>
      </c>
      <c r="B19">
        <v>513.25699999999995</v>
      </c>
      <c r="D19" s="6">
        <v>41122</v>
      </c>
      <c r="E19" s="14">
        <v>1553.28</v>
      </c>
      <c r="G19" s="6">
        <v>41153</v>
      </c>
      <c r="H19" s="14">
        <v>2477.3000000000002</v>
      </c>
      <c r="J19" s="6">
        <v>41153</v>
      </c>
      <c r="K19">
        <v>277.82400000000001</v>
      </c>
      <c r="M19" s="6">
        <v>41365</v>
      </c>
      <c r="N19">
        <v>0.65329999999999999</v>
      </c>
    </row>
    <row r="20" spans="1:14">
      <c r="A20" s="6">
        <v>41030</v>
      </c>
      <c r="B20">
        <v>500.46600000000001</v>
      </c>
      <c r="D20" s="6">
        <v>41091</v>
      </c>
      <c r="E20" s="14">
        <v>1559.54</v>
      </c>
      <c r="G20" s="6">
        <v>41122</v>
      </c>
      <c r="H20" s="14">
        <v>2469.11</v>
      </c>
      <c r="J20" s="6">
        <v>41122</v>
      </c>
      <c r="K20">
        <v>267.52600000000001</v>
      </c>
      <c r="M20" s="6">
        <v>41334</v>
      </c>
      <c r="N20">
        <v>0.66269999999999996</v>
      </c>
    </row>
    <row r="21" spans="1:14">
      <c r="A21" s="6">
        <v>41000</v>
      </c>
      <c r="B21">
        <v>488.32400000000001</v>
      </c>
      <c r="D21" s="6">
        <v>41061</v>
      </c>
      <c r="E21" s="14">
        <v>1556.54</v>
      </c>
      <c r="G21" s="6">
        <v>41091</v>
      </c>
      <c r="H21" s="14">
        <v>2439.02</v>
      </c>
      <c r="J21" s="6">
        <v>41091</v>
      </c>
      <c r="K21">
        <v>267.93</v>
      </c>
      <c r="M21" s="6">
        <v>41306</v>
      </c>
      <c r="N21">
        <v>0.64410000000000001</v>
      </c>
    </row>
    <row r="22" spans="1:14">
      <c r="A22" s="6">
        <v>40969</v>
      </c>
      <c r="B22">
        <v>486.52800000000002</v>
      </c>
      <c r="D22" s="6">
        <v>41030</v>
      </c>
      <c r="E22" s="14">
        <v>1560.86</v>
      </c>
      <c r="G22" s="6">
        <v>41061</v>
      </c>
      <c r="H22" s="14">
        <v>2446.69</v>
      </c>
      <c r="J22" s="6">
        <v>41061</v>
      </c>
      <c r="K22">
        <v>266.76499999999999</v>
      </c>
      <c r="M22" s="6">
        <v>41275</v>
      </c>
      <c r="N22">
        <v>0.62539999999999996</v>
      </c>
    </row>
    <row r="23" spans="1:14">
      <c r="A23" s="6">
        <v>40940</v>
      </c>
      <c r="B23">
        <v>486.62599999999998</v>
      </c>
      <c r="D23" s="6">
        <v>41000</v>
      </c>
      <c r="E23" s="14">
        <v>1564.56</v>
      </c>
      <c r="G23" s="6">
        <v>41030</v>
      </c>
      <c r="H23" s="14">
        <v>2444.48</v>
      </c>
      <c r="J23" s="6">
        <v>41030</v>
      </c>
      <c r="K23">
        <v>230.245</v>
      </c>
      <c r="M23" s="6">
        <v>41244</v>
      </c>
      <c r="N23">
        <v>0.62</v>
      </c>
    </row>
    <row r="24" spans="1:14">
      <c r="A24" s="6">
        <v>40909</v>
      </c>
      <c r="B24">
        <v>498.54899999999998</v>
      </c>
      <c r="D24" s="6">
        <v>40969</v>
      </c>
      <c r="E24" s="14">
        <v>1570.07</v>
      </c>
      <c r="G24" s="6">
        <v>41000</v>
      </c>
      <c r="H24" s="14">
        <v>2471.35</v>
      </c>
      <c r="J24" s="6">
        <v>41000</v>
      </c>
      <c r="K24">
        <v>165.14400000000001</v>
      </c>
      <c r="M24" s="6">
        <v>41214</v>
      </c>
      <c r="N24">
        <v>0.62629999999999997</v>
      </c>
    </row>
    <row r="25" spans="1:14">
      <c r="A25" s="6">
        <v>40878</v>
      </c>
      <c r="B25">
        <v>487.483</v>
      </c>
      <c r="D25" s="6">
        <v>40940</v>
      </c>
      <c r="E25" s="14">
        <v>1569.67</v>
      </c>
      <c r="G25" s="6">
        <v>40969</v>
      </c>
      <c r="H25" s="14">
        <v>2437.63</v>
      </c>
      <c r="J25" s="6">
        <v>40969</v>
      </c>
      <c r="K25">
        <v>165.27500000000001</v>
      </c>
      <c r="M25" s="6">
        <v>41183</v>
      </c>
      <c r="N25">
        <v>0.62190000000000001</v>
      </c>
    </row>
    <row r="26" spans="1:14">
      <c r="A26" s="6">
        <v>40848</v>
      </c>
      <c r="B26">
        <v>473.08699999999999</v>
      </c>
      <c r="D26" s="6">
        <v>40909</v>
      </c>
      <c r="E26" s="14">
        <v>1567.1</v>
      </c>
      <c r="G26" s="6">
        <v>40940</v>
      </c>
      <c r="H26" s="14">
        <v>2291.5700000000002</v>
      </c>
      <c r="J26" s="6">
        <v>40940</v>
      </c>
      <c r="K26">
        <v>163.88800000000001</v>
      </c>
      <c r="M26" s="6">
        <v>41153</v>
      </c>
      <c r="N26">
        <v>0.62139999999999995</v>
      </c>
    </row>
    <row r="27" spans="1:14">
      <c r="A27" s="6">
        <v>40817</v>
      </c>
      <c r="B27">
        <v>469.21800000000002</v>
      </c>
      <c r="D27" s="6">
        <v>40878</v>
      </c>
      <c r="E27" s="14">
        <v>1596.37</v>
      </c>
      <c r="G27" s="6">
        <v>40909</v>
      </c>
      <c r="H27" s="14">
        <v>2384.87</v>
      </c>
      <c r="J27" s="6">
        <v>40909</v>
      </c>
      <c r="K27">
        <v>162.499</v>
      </c>
      <c r="M27" s="6">
        <v>41122</v>
      </c>
      <c r="N27">
        <v>0.63660000000000005</v>
      </c>
    </row>
    <row r="28" spans="1:14">
      <c r="D28" s="6">
        <v>40848</v>
      </c>
      <c r="E28" s="14">
        <v>1719.02</v>
      </c>
      <c r="G28" s="6">
        <v>40878</v>
      </c>
      <c r="H28" s="14">
        <v>2422.62</v>
      </c>
      <c r="J28" s="6">
        <v>40878</v>
      </c>
      <c r="K28">
        <v>162.572</v>
      </c>
      <c r="M28" s="6">
        <v>41091</v>
      </c>
      <c r="N28">
        <v>0.64090000000000003</v>
      </c>
    </row>
    <row r="29" spans="1:14">
      <c r="D29" s="6">
        <v>40817</v>
      </c>
      <c r="E29" s="14">
        <v>1682.15</v>
      </c>
      <c r="G29" s="6">
        <v>40848</v>
      </c>
      <c r="H29" s="14">
        <v>2552.94</v>
      </c>
      <c r="J29" s="6">
        <v>40848</v>
      </c>
      <c r="K29">
        <v>163.23699999999999</v>
      </c>
      <c r="M29" s="6">
        <v>41061</v>
      </c>
      <c r="N29">
        <v>0.64329999999999998</v>
      </c>
    </row>
    <row r="30" spans="1:14">
      <c r="D30" s="6">
        <v>40787</v>
      </c>
      <c r="E30" s="14">
        <v>1614.47</v>
      </c>
      <c r="G30" s="6">
        <v>40817</v>
      </c>
      <c r="H30" s="14">
        <v>2777.79</v>
      </c>
      <c r="M30" s="6">
        <v>41030</v>
      </c>
      <c r="N30">
        <v>0.62690000000000001</v>
      </c>
    </row>
    <row r="31" spans="1:14">
      <c r="D31" s="6">
        <v>40756</v>
      </c>
      <c r="E31" s="14">
        <v>1586.91</v>
      </c>
      <c r="G31" s="6">
        <v>40787</v>
      </c>
      <c r="H31" s="14">
        <v>2778.45</v>
      </c>
      <c r="M31" s="6">
        <v>41000</v>
      </c>
      <c r="N31">
        <v>0.62490000000000001</v>
      </c>
    </row>
    <row r="32" spans="1:14">
      <c r="D32" s="6">
        <v>40725</v>
      </c>
      <c r="E32" s="14">
        <v>1561.71</v>
      </c>
      <c r="M32" s="6">
        <v>40969</v>
      </c>
      <c r="N32">
        <v>0.63190000000000002</v>
      </c>
    </row>
    <row r="33" spans="4:14">
      <c r="D33" s="6">
        <v>40695</v>
      </c>
      <c r="E33" s="14">
        <v>1558.56</v>
      </c>
      <c r="M33" s="6">
        <v>40940</v>
      </c>
      <c r="N33">
        <v>0.63290000000000002</v>
      </c>
    </row>
    <row r="34" spans="4:14">
      <c r="D34" s="6">
        <v>40664</v>
      </c>
      <c r="E34" s="14">
        <v>1504.76</v>
      </c>
      <c r="M34" s="6">
        <v>40909</v>
      </c>
      <c r="N34">
        <v>0.64490000000000003</v>
      </c>
    </row>
    <row r="35" spans="4:14">
      <c r="D35" s="6">
        <v>40634</v>
      </c>
      <c r="E35" s="14">
        <v>1486.63</v>
      </c>
      <c r="M35" s="6">
        <v>40878</v>
      </c>
      <c r="N35">
        <v>0.64100000000000001</v>
      </c>
    </row>
    <row r="36" spans="4:14">
      <c r="D36" s="6">
        <v>40603</v>
      </c>
      <c r="E36" s="14">
        <v>1489.6</v>
      </c>
      <c r="M36" s="6">
        <v>40848</v>
      </c>
      <c r="N36">
        <v>0.63170000000000004</v>
      </c>
    </row>
    <row r="37" spans="4:14">
      <c r="M37" s="6">
        <v>40817</v>
      </c>
      <c r="N37">
        <v>0.63470000000000004</v>
      </c>
    </row>
    <row r="38" spans="4:14">
      <c r="M38" s="6">
        <v>40787</v>
      </c>
      <c r="N38">
        <v>0.63200000000000001</v>
      </c>
    </row>
    <row r="39" spans="4:14">
      <c r="M39" s="6">
        <v>40756</v>
      </c>
      <c r="N39">
        <v>0.61080000000000001</v>
      </c>
    </row>
    <row r="40" spans="4:14">
      <c r="M40" s="6">
        <v>40725</v>
      </c>
      <c r="N40">
        <v>0.61929999999999996</v>
      </c>
    </row>
    <row r="41" spans="4:14">
      <c r="M41" s="6">
        <v>40695</v>
      </c>
      <c r="N41">
        <v>0.61609999999999998</v>
      </c>
    </row>
    <row r="42" spans="4:14">
      <c r="M42" s="6">
        <v>40664</v>
      </c>
      <c r="N42">
        <v>0.61129999999999995</v>
      </c>
    </row>
    <row r="43" spans="4:14">
      <c r="M43" s="6">
        <v>40634</v>
      </c>
      <c r="N43">
        <v>0.61160000000000003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DFID spending summary</vt:lpstr>
      <vt:lpstr>Four country summary</vt:lpstr>
      <vt:lpstr>Niger</vt:lpstr>
      <vt:lpstr>Tanzania</vt:lpstr>
      <vt:lpstr>Uganda</vt:lpstr>
      <vt:lpstr>Malawi</vt:lpstr>
      <vt:lpstr>Exchange rates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2014-10-22T20:58:12Z</dcterms:created>
  <dcterms:modified xsi:type="dcterms:W3CDTF">2014-11-26T22:18:12Z</dcterms:modified>
</cp:coreProperties>
</file>