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4240" windowHeight="13740"/>
  </bookViews>
  <sheets>
    <sheet name="Summary" sheetId="3" r:id="rId1"/>
    <sheet name="2016 Monthly" sheetId="1" r:id="rId2"/>
    <sheet name="2017 Monthly" sheetId="2" r:id="rId3"/>
    <sheet name="GiveWell calculations" sheetId="4" r:id="rId4"/>
  </sheet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D4" i="4"/>
  <c r="D3" i="4"/>
  <c r="E3" i="4"/>
  <c r="E4" i="4"/>
  <c r="E6" i="4"/>
  <c r="F3" i="4"/>
  <c r="F4" i="4"/>
  <c r="F6" i="4"/>
  <c r="B9" i="4"/>
  <c r="C3" i="4"/>
  <c r="C4" i="4"/>
  <c r="C6" i="4"/>
  <c r="B3" i="4"/>
  <c r="B4" i="4"/>
  <c r="B6" i="4"/>
  <c r="B44" i="3"/>
  <c r="B43" i="3"/>
  <c r="B42" i="3"/>
  <c r="B45" i="3"/>
  <c r="B11" i="3"/>
  <c r="B10" i="3"/>
  <c r="B35" i="3"/>
  <c r="K34" i="1"/>
  <c r="B40" i="3"/>
  <c r="B39" i="3"/>
  <c r="B19" i="3"/>
  <c r="M34" i="1"/>
  <c r="L34" i="1"/>
  <c r="J34" i="1"/>
  <c r="I34" i="1"/>
  <c r="H34" i="1"/>
  <c r="M18" i="1"/>
  <c r="M17" i="1"/>
  <c r="L18" i="1"/>
  <c r="K18" i="1"/>
  <c r="J18" i="1"/>
  <c r="I18" i="1"/>
  <c r="H18" i="1"/>
  <c r="M5" i="1"/>
  <c r="C45" i="3"/>
  <c r="C44" i="3"/>
  <c r="C11" i="3"/>
  <c r="C10" i="3"/>
  <c r="H44" i="2"/>
  <c r="H43" i="2"/>
  <c r="G44" i="2"/>
  <c r="G43" i="2"/>
  <c r="H10" i="2"/>
  <c r="H9" i="2"/>
  <c r="G10" i="2"/>
  <c r="B27" i="3"/>
  <c r="B36" i="3"/>
  <c r="G3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N42" i="1"/>
  <c r="N41" i="1"/>
  <c r="N39" i="1"/>
  <c r="N38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N35" i="1"/>
  <c r="N33" i="1"/>
  <c r="N32" i="1"/>
  <c r="N30" i="1"/>
  <c r="N26" i="1"/>
  <c r="N25" i="1"/>
  <c r="N24" i="1"/>
  <c r="N22" i="1"/>
  <c r="K27" i="1"/>
  <c r="J27" i="1"/>
  <c r="I27" i="1"/>
  <c r="H27" i="1"/>
  <c r="G27" i="1"/>
  <c r="F27" i="1"/>
  <c r="E27" i="1"/>
  <c r="D27" i="1"/>
  <c r="C27" i="1"/>
  <c r="B27" i="1"/>
  <c r="N18" i="1"/>
  <c r="N17" i="1"/>
  <c r="N16" i="1"/>
  <c r="M19" i="1"/>
  <c r="L19" i="1"/>
  <c r="K19" i="1"/>
  <c r="J19" i="1"/>
  <c r="I19" i="1"/>
  <c r="H19" i="1"/>
  <c r="G19" i="1"/>
  <c r="F19" i="1"/>
  <c r="E19" i="1"/>
  <c r="D19" i="1"/>
  <c r="C19" i="1"/>
  <c r="B19" i="1"/>
  <c r="N14" i="1"/>
  <c r="N10" i="1"/>
  <c r="N9" i="1"/>
  <c r="N8" i="1"/>
  <c r="N6" i="1"/>
  <c r="N5" i="1"/>
  <c r="M11" i="1"/>
  <c r="L11" i="1"/>
  <c r="K11" i="1"/>
  <c r="J11" i="1"/>
  <c r="I11" i="1"/>
  <c r="H11" i="1"/>
  <c r="G11" i="1"/>
  <c r="F11" i="1"/>
  <c r="E11" i="1"/>
  <c r="D11" i="1"/>
  <c r="C11" i="1"/>
  <c r="B11" i="1"/>
  <c r="N19" i="1"/>
  <c r="N11" i="1"/>
  <c r="N27" i="1"/>
  <c r="M27" i="1"/>
  <c r="L27" i="1"/>
  <c r="F34" i="1"/>
  <c r="H38" i="2"/>
  <c r="E38" i="2"/>
  <c r="D44" i="3"/>
  <c r="D43" i="3"/>
  <c r="D42" i="3"/>
  <c r="D40" i="3"/>
  <c r="D39" i="3"/>
  <c r="D35" i="3"/>
  <c r="D34" i="3"/>
  <c r="D33" i="3"/>
  <c r="D31" i="3"/>
  <c r="D30" i="3"/>
  <c r="D26" i="3"/>
  <c r="D25" i="3"/>
  <c r="D24" i="3"/>
  <c r="D22" i="3"/>
  <c r="D18" i="3"/>
  <c r="D17" i="3"/>
  <c r="D16" i="3"/>
  <c r="D14" i="3"/>
  <c r="D19" i="3"/>
  <c r="D10" i="3"/>
  <c r="D9" i="3"/>
  <c r="D8" i="3"/>
  <c r="D6" i="3"/>
  <c r="D5" i="3"/>
  <c r="D11" i="3"/>
  <c r="D27" i="3"/>
  <c r="D45" i="3"/>
  <c r="D36" i="3"/>
</calcChain>
</file>

<file path=xl/sharedStrings.xml><?xml version="1.0" encoding="utf-8"?>
<sst xmlns="http://schemas.openxmlformats.org/spreadsheetml/2006/main" count="129" uniqueCount="30">
  <si>
    <t>YTD</t>
  </si>
  <si>
    <t>Beta</t>
  </si>
  <si>
    <t>Program Restricted Grants</t>
  </si>
  <si>
    <t>General Program Restricted</t>
  </si>
  <si>
    <t>Good Ventures</t>
  </si>
  <si>
    <t>Givewell</t>
  </si>
  <si>
    <t xml:space="preserve">Other </t>
  </si>
  <si>
    <t>Total BETA</t>
  </si>
  <si>
    <t>Deworm the World</t>
  </si>
  <si>
    <t>Total Deworm the World</t>
  </si>
  <si>
    <t>Dispensers for Safe Water</t>
  </si>
  <si>
    <t>Total Dispensers for Safe Water</t>
  </si>
  <si>
    <t>Evidence Action</t>
  </si>
  <si>
    <t>Total Evidence Action</t>
  </si>
  <si>
    <t>Total</t>
  </si>
  <si>
    <t>YTD 6/30/17</t>
  </si>
  <si>
    <t>Other*</t>
  </si>
  <si>
    <t>Good Ventures*</t>
  </si>
  <si>
    <t>Other**</t>
  </si>
  <si>
    <t>** 'Other' General Program Restricted revenue is defined as all revenue that does not qualify as a program restricted grant, and was received from contributors other than Good Ventures and Givewell.</t>
  </si>
  <si>
    <t>* All Good Ventures' funding for the BETA No Lean Season project are included here, under 'Program Restricted Grants', as their scope is limited to one specific sub-program.</t>
  </si>
  <si>
    <t>This sheet added by GiveWell</t>
  </si>
  <si>
    <t>Deworm the World revenue July 1 to December 31, 2016</t>
  </si>
  <si>
    <t>Other</t>
  </si>
  <si>
    <t>Deworm the World revenue July 1, 2016 1 to June 30, 2017</t>
  </si>
  <si>
    <t>Deworm the World revenue January 1 to June 30, 2017</t>
  </si>
  <si>
    <t>Total funding to Deworm the World due to GiveWell, as tracked by GiveWell, July 1, 2016 to June 30, 2017</t>
  </si>
  <si>
    <t>Implied portion of 'other' funding that was driven by GiveWell</t>
  </si>
  <si>
    <t>Grants from Good Ventures and GiveWell</t>
  </si>
  <si>
    <t>Total excluding program restricted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</si>
</sst>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/>
    <xf numFmtId="17" fontId="3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0" fontId="4" fillId="2" borderId="1" xfId="0" applyFont="1" applyFill="1" applyBorder="1" applyAlignment="1"/>
    <xf numFmtId="0" fontId="4" fillId="0" borderId="0" xfId="0" applyFont="1" applyFill="1" applyAlignment="1"/>
    <xf numFmtId="164" fontId="4" fillId="0" borderId="0" xfId="1" applyNumberFormat="1" applyFont="1" applyAlignment="1"/>
    <xf numFmtId="164" fontId="4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left" indent="1"/>
    </xf>
    <xf numFmtId="164" fontId="4" fillId="0" borderId="2" xfId="0" applyNumberFormat="1" applyFont="1" applyBorder="1" applyAlignment="1"/>
    <xf numFmtId="17" fontId="3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 applyFill="1" applyAlignment="1"/>
    <xf numFmtId="0" fontId="7" fillId="0" borderId="0" xfId="0" applyFont="1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2" applyFont="1"/>
    <xf numFmtId="0" fontId="5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showGridLines="0" tabSelected="1" zoomScaleNormal="100" workbookViewId="0"/>
  </sheetViews>
  <sheetFormatPr defaultColWidth="8.85546875" defaultRowHeight="11.25" x14ac:dyDescent="0.2"/>
  <cols>
    <col min="1" max="1" width="28.140625" style="9" customWidth="1"/>
    <col min="2" max="4" width="19.42578125" style="9" customWidth="1"/>
    <col min="5" max="16384" width="8.85546875" style="9"/>
  </cols>
  <sheetData>
    <row r="2" spans="1:4" s="1" customFormat="1" ht="11.1" hidden="1" x14ac:dyDescent="0.15"/>
    <row r="3" spans="1:4" s="2" customFormat="1" ht="11.1" x14ac:dyDescent="0.15">
      <c r="B3" s="4">
        <v>2016</v>
      </c>
      <c r="C3" s="4" t="s">
        <v>15</v>
      </c>
      <c r="D3" s="4" t="s">
        <v>14</v>
      </c>
    </row>
    <row r="4" spans="1:4" s="5" customFormat="1" ht="11.1" x14ac:dyDescent="0.15">
      <c r="A4" s="5" t="s">
        <v>1</v>
      </c>
    </row>
    <row r="5" spans="1:4" ht="11.1" x14ac:dyDescent="0.15">
      <c r="A5" s="6" t="s">
        <v>2</v>
      </c>
      <c r="B5" s="8">
        <v>1204573.57</v>
      </c>
      <c r="C5" s="8">
        <v>3215476</v>
      </c>
      <c r="D5" s="8">
        <f>B5+C5</f>
        <v>4420049.57</v>
      </c>
    </row>
    <row r="6" spans="1:4" ht="11.1" x14ac:dyDescent="0.15">
      <c r="A6" s="13" t="s">
        <v>17</v>
      </c>
      <c r="B6" s="8">
        <v>2499851</v>
      </c>
      <c r="C6" s="8">
        <v>0</v>
      </c>
      <c r="D6" s="8">
        <f>B6+C6</f>
        <v>2499851</v>
      </c>
    </row>
    <row r="7" spans="1:4" ht="11.1" x14ac:dyDescent="0.15">
      <c r="A7" s="9" t="s">
        <v>3</v>
      </c>
      <c r="B7" s="8"/>
      <c r="C7" s="8"/>
      <c r="D7" s="8"/>
    </row>
    <row r="8" spans="1:4" ht="11.1" x14ac:dyDescent="0.15">
      <c r="A8" s="10" t="s">
        <v>4</v>
      </c>
      <c r="B8" s="8">
        <v>0</v>
      </c>
      <c r="C8" s="8">
        <v>0</v>
      </c>
      <c r="D8" s="8">
        <f>B8+C8</f>
        <v>0</v>
      </c>
    </row>
    <row r="9" spans="1:4" ht="11.1" x14ac:dyDescent="0.15">
      <c r="A9" s="10" t="s">
        <v>5</v>
      </c>
      <c r="B9" s="8">
        <v>0</v>
      </c>
      <c r="C9" s="8">
        <v>0</v>
      </c>
      <c r="D9" s="8">
        <f>B9+C9</f>
        <v>0</v>
      </c>
    </row>
    <row r="10" spans="1:4" ht="11.1" x14ac:dyDescent="0.15">
      <c r="A10" s="10" t="s">
        <v>18</v>
      </c>
      <c r="B10" s="8">
        <f>14887-8000</f>
        <v>6887</v>
      </c>
      <c r="C10" s="8">
        <f>55585+148952</f>
        <v>204537</v>
      </c>
      <c r="D10" s="8">
        <f>B10+C10</f>
        <v>211424</v>
      </c>
    </row>
    <row r="11" spans="1:4" ht="11.1" x14ac:dyDescent="0.15">
      <c r="A11" s="9" t="s">
        <v>7</v>
      </c>
      <c r="B11" s="11">
        <f>SUM(B5:B10)</f>
        <v>3711311.5700000003</v>
      </c>
      <c r="C11" s="11">
        <f>SUM(C5:C10)</f>
        <v>3420013</v>
      </c>
      <c r="D11" s="11">
        <f>SUM(D5:D10)</f>
        <v>7131324.5700000003</v>
      </c>
    </row>
    <row r="13" spans="1:4" s="5" customFormat="1" ht="11.1" x14ac:dyDescent="0.15">
      <c r="A13" s="5" t="s">
        <v>8</v>
      </c>
    </row>
    <row r="14" spans="1:4" ht="11.1" x14ac:dyDescent="0.15">
      <c r="A14" s="6" t="s">
        <v>2</v>
      </c>
      <c r="B14" s="8">
        <v>5701907.8399999999</v>
      </c>
      <c r="C14" s="8">
        <v>1780027</v>
      </c>
      <c r="D14" s="8">
        <f>B14+C14</f>
        <v>7481934.8399999999</v>
      </c>
    </row>
    <row r="15" spans="1:4" ht="11.1" x14ac:dyDescent="0.15">
      <c r="A15" s="9" t="s">
        <v>3</v>
      </c>
      <c r="B15" s="8"/>
      <c r="C15" s="8"/>
      <c r="D15" s="8"/>
    </row>
    <row r="16" spans="1:4" ht="11.1" x14ac:dyDescent="0.15">
      <c r="A16" s="10" t="s">
        <v>4</v>
      </c>
      <c r="B16" s="8">
        <v>10483215</v>
      </c>
      <c r="C16" s="8">
        <v>4470000</v>
      </c>
      <c r="D16" s="8">
        <f>B16+C16</f>
        <v>14953215</v>
      </c>
    </row>
    <row r="17" spans="1:4" ht="11.1" x14ac:dyDescent="0.15">
      <c r="A17" s="10" t="s">
        <v>5</v>
      </c>
      <c r="B17" s="8">
        <v>670291.12</v>
      </c>
      <c r="C17" s="8">
        <v>852737</v>
      </c>
      <c r="D17" s="8">
        <f>B17+C17</f>
        <v>1523028.12</v>
      </c>
    </row>
    <row r="18" spans="1:4" ht="11.1" x14ac:dyDescent="0.15">
      <c r="A18" s="10" t="s">
        <v>18</v>
      </c>
      <c r="B18" s="8">
        <v>1193962.03</v>
      </c>
      <c r="C18" s="8">
        <v>522643</v>
      </c>
      <c r="D18" s="8">
        <f>B18+C18</f>
        <v>1716605.03</v>
      </c>
    </row>
    <row r="19" spans="1:4" ht="11.1" x14ac:dyDescent="0.15">
      <c r="A19" s="9" t="s">
        <v>9</v>
      </c>
      <c r="B19" s="11">
        <f>SUM(B14:B18)</f>
        <v>18049375.990000002</v>
      </c>
      <c r="C19" s="11">
        <v>7625407</v>
      </c>
      <c r="D19" s="11">
        <f>SUM(D14:D18)</f>
        <v>25674782.990000002</v>
      </c>
    </row>
    <row r="21" spans="1:4" s="5" customFormat="1" ht="11.1" x14ac:dyDescent="0.15">
      <c r="A21" s="5" t="s">
        <v>10</v>
      </c>
    </row>
    <row r="22" spans="1:4" ht="11.1" x14ac:dyDescent="0.15">
      <c r="A22" s="6" t="s">
        <v>2</v>
      </c>
      <c r="B22" s="8">
        <v>1050643.98</v>
      </c>
      <c r="C22" s="8">
        <v>417273</v>
      </c>
      <c r="D22" s="8">
        <f>B22+C22</f>
        <v>1467916.98</v>
      </c>
    </row>
    <row r="23" spans="1:4" ht="11.1" x14ac:dyDescent="0.15">
      <c r="A23" s="9" t="s">
        <v>3</v>
      </c>
      <c r="B23" s="8"/>
      <c r="C23" s="8"/>
      <c r="D23" s="8"/>
    </row>
    <row r="24" spans="1:4" ht="11.1" x14ac:dyDescent="0.15">
      <c r="A24" s="10" t="s">
        <v>4</v>
      </c>
      <c r="B24" s="8">
        <v>0</v>
      </c>
      <c r="C24" s="8">
        <v>0</v>
      </c>
      <c r="D24" s="8">
        <f>B24+C24</f>
        <v>0</v>
      </c>
    </row>
    <row r="25" spans="1:4" ht="11.1" x14ac:dyDescent="0.15">
      <c r="A25" s="10" t="s">
        <v>5</v>
      </c>
      <c r="B25" s="8">
        <v>0</v>
      </c>
      <c r="C25" s="8">
        <v>0</v>
      </c>
      <c r="D25" s="8">
        <f>B25+C25</f>
        <v>0</v>
      </c>
    </row>
    <row r="26" spans="1:4" ht="11.1" x14ac:dyDescent="0.15">
      <c r="A26" s="10" t="s">
        <v>18</v>
      </c>
      <c r="B26" s="8">
        <v>1151987.2199999997</v>
      </c>
      <c r="C26" s="8">
        <v>2837556</v>
      </c>
      <c r="D26" s="8">
        <f>B26+C26</f>
        <v>3989543.2199999997</v>
      </c>
    </row>
    <row r="27" spans="1:4" ht="11.1" x14ac:dyDescent="0.15">
      <c r="A27" s="9" t="s">
        <v>11</v>
      </c>
      <c r="B27" s="11">
        <f>B22+B26</f>
        <v>2202631.1999999997</v>
      </c>
      <c r="C27" s="11">
        <v>3254828</v>
      </c>
      <c r="D27" s="11">
        <f>SUM(D22:D26)</f>
        <v>5457460.1999999993</v>
      </c>
    </row>
    <row r="29" spans="1:4" s="5" customFormat="1" ht="11.1" x14ac:dyDescent="0.15">
      <c r="A29" s="5" t="s">
        <v>12</v>
      </c>
    </row>
    <row r="30" spans="1:4" ht="11.1" x14ac:dyDescent="0.15">
      <c r="A30" s="6" t="s">
        <v>2</v>
      </c>
      <c r="B30" s="8">
        <v>0</v>
      </c>
      <c r="C30" s="8">
        <v>0</v>
      </c>
      <c r="D30" s="8">
        <f>B30+C30</f>
        <v>0</v>
      </c>
    </row>
    <row r="31" spans="1:4" ht="11.1" x14ac:dyDescent="0.15">
      <c r="A31" s="13" t="s">
        <v>4</v>
      </c>
      <c r="B31" s="8">
        <v>0</v>
      </c>
      <c r="C31" s="8">
        <v>2642300</v>
      </c>
      <c r="D31" s="8">
        <f>B31+C31</f>
        <v>2642300</v>
      </c>
    </row>
    <row r="32" spans="1:4" ht="11.1" x14ac:dyDescent="0.15">
      <c r="A32" s="9" t="s">
        <v>3</v>
      </c>
      <c r="B32" s="8"/>
      <c r="C32" s="8"/>
      <c r="D32" s="8"/>
    </row>
    <row r="33" spans="1:4" ht="11.1" x14ac:dyDescent="0.15">
      <c r="A33" s="10" t="s">
        <v>4</v>
      </c>
      <c r="B33" s="8">
        <v>0</v>
      </c>
      <c r="C33" s="8">
        <v>0</v>
      </c>
      <c r="D33" s="8">
        <f>B33+C33</f>
        <v>0</v>
      </c>
    </row>
    <row r="34" spans="1:4" ht="11.1" x14ac:dyDescent="0.15">
      <c r="A34" s="10" t="s">
        <v>5</v>
      </c>
      <c r="B34" s="8">
        <v>0</v>
      </c>
      <c r="C34" s="8">
        <v>0</v>
      </c>
      <c r="D34" s="8">
        <f>B34+C34</f>
        <v>0</v>
      </c>
    </row>
    <row r="35" spans="1:4" ht="11.1" x14ac:dyDescent="0.15">
      <c r="A35" s="10" t="s">
        <v>18</v>
      </c>
      <c r="B35" s="8">
        <f>1314142.95+8000</f>
        <v>1322142.95</v>
      </c>
      <c r="C35" s="8">
        <v>463655</v>
      </c>
      <c r="D35" s="8">
        <f>B35+C35</f>
        <v>1785797.95</v>
      </c>
    </row>
    <row r="36" spans="1:4" ht="11.1" x14ac:dyDescent="0.15">
      <c r="A36" s="9" t="s">
        <v>13</v>
      </c>
      <c r="B36" s="11">
        <f>B35</f>
        <v>1322142.95</v>
      </c>
      <c r="C36" s="11">
        <v>3105955</v>
      </c>
      <c r="D36" s="11">
        <f>SUM(D30:D35)</f>
        <v>4428097.95</v>
      </c>
    </row>
    <row r="38" spans="1:4" s="5" customFormat="1" ht="11.1" x14ac:dyDescent="0.15">
      <c r="A38" s="5" t="s">
        <v>14</v>
      </c>
    </row>
    <row r="39" spans="1:4" ht="11.1" x14ac:dyDescent="0.15">
      <c r="A39" s="6" t="s">
        <v>2</v>
      </c>
      <c r="B39" s="8">
        <f>B5+B14+B22+B30</f>
        <v>7957125.3900000006</v>
      </c>
      <c r="C39" s="8">
        <v>5412775</v>
      </c>
      <c r="D39" s="8">
        <f>B39+C39</f>
        <v>13369900.390000001</v>
      </c>
    </row>
    <row r="40" spans="1:4" ht="11.1" x14ac:dyDescent="0.15">
      <c r="A40" s="10" t="s">
        <v>4</v>
      </c>
      <c r="B40" s="8">
        <f>B6</f>
        <v>2499851</v>
      </c>
      <c r="C40" s="8">
        <v>2642300</v>
      </c>
      <c r="D40" s="8">
        <f>B40+C40</f>
        <v>5142151</v>
      </c>
    </row>
    <row r="41" spans="1:4" ht="11.1" x14ac:dyDescent="0.15">
      <c r="A41" s="9" t="s">
        <v>3</v>
      </c>
      <c r="B41" s="8"/>
      <c r="C41" s="8"/>
      <c r="D41" s="8"/>
    </row>
    <row r="42" spans="1:4" ht="11.1" x14ac:dyDescent="0.15">
      <c r="A42" s="10" t="s">
        <v>4</v>
      </c>
      <c r="B42" s="8">
        <f>B8+B16+B24+B33</f>
        <v>10483215</v>
      </c>
      <c r="C42" s="8">
        <v>4470000</v>
      </c>
      <c r="D42" s="8">
        <f>B42+C42</f>
        <v>14953215</v>
      </c>
    </row>
    <row r="43" spans="1:4" ht="11.1" x14ac:dyDescent="0.15">
      <c r="A43" s="10" t="s">
        <v>5</v>
      </c>
      <c r="B43" s="8">
        <f>B9+B17+B25+B34</f>
        <v>670291.12</v>
      </c>
      <c r="C43" s="8">
        <v>852737</v>
      </c>
      <c r="D43" s="8">
        <f>B43+C43</f>
        <v>1523028.12</v>
      </c>
    </row>
    <row r="44" spans="1:4" ht="11.1" x14ac:dyDescent="0.15">
      <c r="A44" s="10" t="s">
        <v>16</v>
      </c>
      <c r="B44" s="8">
        <f>B10+B18+B26+B35</f>
        <v>3674979.2</v>
      </c>
      <c r="C44" s="8">
        <f>C10+C18+C26+C35</f>
        <v>4028391</v>
      </c>
      <c r="D44" s="8">
        <f>B44+C44</f>
        <v>7703370.2000000002</v>
      </c>
    </row>
    <row r="45" spans="1:4" ht="11.1" x14ac:dyDescent="0.15">
      <c r="A45" s="9" t="s">
        <v>14</v>
      </c>
      <c r="B45" s="11">
        <f>SUM(B39:B44)</f>
        <v>25285461.710000001</v>
      </c>
      <c r="C45" s="11">
        <f>SUM(C39:C44)</f>
        <v>17406203</v>
      </c>
      <c r="D45" s="11">
        <f>SUM(D39:D44)</f>
        <v>42691664.710000001</v>
      </c>
    </row>
    <row r="49" spans="1:4" ht="23.25" customHeight="1" x14ac:dyDescent="0.2">
      <c r="A49" s="21" t="s">
        <v>20</v>
      </c>
      <c r="B49" s="21"/>
      <c r="C49" s="21"/>
      <c r="D49" s="21"/>
    </row>
    <row r="50" spans="1:4" ht="23.25" customHeight="1" x14ac:dyDescent="0.2">
      <c r="A50" s="21" t="s">
        <v>19</v>
      </c>
      <c r="B50" s="21"/>
      <c r="C50" s="21"/>
      <c r="D50" s="21"/>
    </row>
  </sheetData>
  <mergeCells count="2">
    <mergeCell ref="A50:D50"/>
    <mergeCell ref="A49:D49"/>
  </mergeCells>
  <phoneticPr fontId="6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showGridLines="0" zoomScaleNormal="100" workbookViewId="0"/>
  </sheetViews>
  <sheetFormatPr defaultColWidth="8.85546875" defaultRowHeight="11.25" x14ac:dyDescent="0.2"/>
  <cols>
    <col min="1" max="1" width="28.140625" style="9" customWidth="1"/>
    <col min="2" max="14" width="13.28515625" style="9" customWidth="1"/>
    <col min="15" max="15" width="10.85546875" style="9" bestFit="1" customWidth="1"/>
    <col min="16" max="16" width="10" style="9" bestFit="1" customWidth="1"/>
    <col min="17" max="16384" width="8.85546875" style="9"/>
  </cols>
  <sheetData>
    <row r="2" spans="1:16" s="1" customFormat="1" ht="11.1" hidden="1" x14ac:dyDescent="0.1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</row>
    <row r="3" spans="1:16" s="2" customFormat="1" ht="11.1" x14ac:dyDescent="0.15">
      <c r="B3" s="3">
        <v>42370</v>
      </c>
      <c r="C3" s="3">
        <v>42401</v>
      </c>
      <c r="D3" s="3">
        <v>42430</v>
      </c>
      <c r="E3" s="3">
        <v>42461</v>
      </c>
      <c r="F3" s="3">
        <v>42491</v>
      </c>
      <c r="G3" s="3">
        <v>42522</v>
      </c>
      <c r="H3" s="3">
        <v>42552</v>
      </c>
      <c r="I3" s="3">
        <v>42583</v>
      </c>
      <c r="J3" s="3">
        <v>42614</v>
      </c>
      <c r="K3" s="3">
        <v>42644</v>
      </c>
      <c r="L3" s="3">
        <v>42675</v>
      </c>
      <c r="M3" s="3">
        <v>42705</v>
      </c>
      <c r="N3" s="4" t="s">
        <v>0</v>
      </c>
    </row>
    <row r="4" spans="1:16" s="5" customFormat="1" ht="11.1" x14ac:dyDescent="0.15">
      <c r="A4" s="5" t="s">
        <v>1</v>
      </c>
    </row>
    <row r="5" spans="1:16" ht="11.1" x14ac:dyDescent="0.15">
      <c r="A5" s="6" t="s">
        <v>2</v>
      </c>
      <c r="B5" s="7">
        <v>689225.60000000009</v>
      </c>
      <c r="C5" s="7">
        <v>17297.59</v>
      </c>
      <c r="D5" s="7">
        <v>0</v>
      </c>
      <c r="E5" s="7">
        <v>0</v>
      </c>
      <c r="F5" s="7">
        <v>88660.26</v>
      </c>
      <c r="G5" s="7">
        <v>0</v>
      </c>
      <c r="H5" s="7">
        <v>0</v>
      </c>
      <c r="I5" s="7">
        <v>108779.55</v>
      </c>
      <c r="J5" s="7">
        <v>305151.04000000004</v>
      </c>
      <c r="K5" s="7">
        <v>0</v>
      </c>
      <c r="L5" s="7">
        <v>0</v>
      </c>
      <c r="M5" s="7">
        <f>-204540.47+200000</f>
        <v>-4540.4700000000012</v>
      </c>
      <c r="N5" s="8">
        <f>SUM(B5:M5)</f>
        <v>1204573.57</v>
      </c>
    </row>
    <row r="6" spans="1:16" ht="11.1" x14ac:dyDescent="0.15">
      <c r="A6" s="13" t="s">
        <v>4</v>
      </c>
      <c r="B6" s="7">
        <v>0</v>
      </c>
      <c r="C6" s="7">
        <v>0</v>
      </c>
      <c r="D6" s="7">
        <v>812351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1687500</v>
      </c>
      <c r="N6" s="8">
        <f>SUM(B6:M6)</f>
        <v>2499851</v>
      </c>
    </row>
    <row r="7" spans="1:16" ht="11.1" x14ac:dyDescent="0.15">
      <c r="A7" s="9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6" ht="11.1" x14ac:dyDescent="0.15">
      <c r="A8" s="10" t="s">
        <v>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f>SUM(B8:M8)</f>
        <v>0</v>
      </c>
    </row>
    <row r="9" spans="1:16" ht="11.1" x14ac:dyDescent="0.15">
      <c r="A9" s="10" t="s">
        <v>5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8">
        <f>SUM(B9:M9)</f>
        <v>0</v>
      </c>
    </row>
    <row r="10" spans="1:16" ht="11.1" x14ac:dyDescent="0.15">
      <c r="A10" s="10" t="s">
        <v>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6887</v>
      </c>
      <c r="N10" s="8">
        <f>SUM(B10:M10)</f>
        <v>6887</v>
      </c>
      <c r="O10" s="8"/>
    </row>
    <row r="11" spans="1:16" ht="11.1" x14ac:dyDescent="0.15">
      <c r="A11" s="9" t="s">
        <v>7</v>
      </c>
      <c r="B11" s="11">
        <f>SUM(B5:B10)</f>
        <v>689225.60000000009</v>
      </c>
      <c r="C11" s="11">
        <f t="shared" ref="C11:N11" si="0">SUM(C5:C10)</f>
        <v>17297.59</v>
      </c>
      <c r="D11" s="11">
        <f t="shared" si="0"/>
        <v>812351</v>
      </c>
      <c r="E11" s="11">
        <f t="shared" si="0"/>
        <v>0</v>
      </c>
      <c r="F11" s="11">
        <f t="shared" si="0"/>
        <v>88660.26</v>
      </c>
      <c r="G11" s="11">
        <f t="shared" si="0"/>
        <v>0</v>
      </c>
      <c r="H11" s="11">
        <f t="shared" si="0"/>
        <v>0</v>
      </c>
      <c r="I11" s="11">
        <f t="shared" si="0"/>
        <v>108779.55</v>
      </c>
      <c r="J11" s="11">
        <f t="shared" si="0"/>
        <v>305151.04000000004</v>
      </c>
      <c r="K11" s="11">
        <f t="shared" si="0"/>
        <v>0</v>
      </c>
      <c r="L11" s="11">
        <f t="shared" si="0"/>
        <v>0</v>
      </c>
      <c r="M11" s="11">
        <f t="shared" si="0"/>
        <v>1689846.53</v>
      </c>
      <c r="N11" s="11">
        <f t="shared" si="0"/>
        <v>3711311.5700000003</v>
      </c>
      <c r="O11" s="8"/>
      <c r="P11" s="8"/>
    </row>
    <row r="13" spans="1:16" s="5" customFormat="1" ht="11.1" x14ac:dyDescent="0.15">
      <c r="A13" s="5" t="s">
        <v>8</v>
      </c>
    </row>
    <row r="14" spans="1:16" ht="11.1" x14ac:dyDescent="0.15">
      <c r="A14" s="6" t="s">
        <v>2</v>
      </c>
      <c r="B14" s="7">
        <v>60342.17</v>
      </c>
      <c r="C14" s="7">
        <v>13500.64</v>
      </c>
      <c r="D14" s="7">
        <v>0</v>
      </c>
      <c r="E14" s="7">
        <v>0</v>
      </c>
      <c r="F14" s="7">
        <v>0</v>
      </c>
      <c r="G14" s="7">
        <v>0</v>
      </c>
      <c r="H14" s="7">
        <v>455587.94</v>
      </c>
      <c r="I14" s="7">
        <v>607805</v>
      </c>
      <c r="J14" s="7">
        <v>2354389.0100000002</v>
      </c>
      <c r="K14" s="7">
        <v>0</v>
      </c>
      <c r="L14" s="7">
        <v>1595174.5</v>
      </c>
      <c r="M14" s="7">
        <v>615108.58000000007</v>
      </c>
      <c r="N14" s="8">
        <f>SUM(B14:M14)</f>
        <v>5701907.8399999999</v>
      </c>
    </row>
    <row r="15" spans="1:16" ht="11.1" x14ac:dyDescent="0.15">
      <c r="A15" s="9" t="s">
        <v>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/>
    </row>
    <row r="16" spans="1:16" ht="11.1" x14ac:dyDescent="0.15">
      <c r="A16" s="10" t="s">
        <v>4</v>
      </c>
      <c r="B16" s="7">
        <v>10483215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8">
        <f>SUM(B16:M16)</f>
        <v>10483215</v>
      </c>
    </row>
    <row r="17" spans="1:16" ht="11.1" x14ac:dyDescent="0.15">
      <c r="A17" s="10" t="s">
        <v>5</v>
      </c>
      <c r="B17" s="7">
        <v>0</v>
      </c>
      <c r="C17" s="7">
        <v>321282.7</v>
      </c>
      <c r="D17" s="7">
        <v>0</v>
      </c>
      <c r="E17" s="7">
        <v>194013</v>
      </c>
      <c r="F17" s="7">
        <v>0</v>
      </c>
      <c r="G17" s="7">
        <v>0</v>
      </c>
      <c r="H17" s="7">
        <v>73698.759999999995</v>
      </c>
      <c r="I17" s="7">
        <v>0</v>
      </c>
      <c r="J17" s="7">
        <v>34087</v>
      </c>
      <c r="K17" s="7">
        <v>0</v>
      </c>
      <c r="L17" s="7">
        <v>0</v>
      </c>
      <c r="M17" s="7">
        <f>81296.66-34087</f>
        <v>47209.66</v>
      </c>
      <c r="N17" s="8">
        <f>SUM(B17:M17)</f>
        <v>670291.12</v>
      </c>
    </row>
    <row r="18" spans="1:16" ht="11.1" x14ac:dyDescent="0.15">
      <c r="A18" s="10" t="s">
        <v>6</v>
      </c>
      <c r="B18" s="7">
        <v>33440.129999999997</v>
      </c>
      <c r="C18" s="7">
        <v>209059.90000000002</v>
      </c>
      <c r="D18" s="7">
        <v>53097.119999999995</v>
      </c>
      <c r="E18" s="7">
        <v>1297.640000000014</v>
      </c>
      <c r="F18" s="7">
        <v>0</v>
      </c>
      <c r="G18" s="7">
        <v>129484.56999999999</v>
      </c>
      <c r="H18" s="7">
        <f>147589.92-125477.37</f>
        <v>22112.550000000017</v>
      </c>
      <c r="I18" s="7">
        <f>42423.06-35487.06</f>
        <v>6936</v>
      </c>
      <c r="J18" s="7">
        <f>-6146.45+6781.39</f>
        <v>634.94000000000051</v>
      </c>
      <c r="K18" s="7">
        <f>50237.99-29035.99</f>
        <v>21201.999999999996</v>
      </c>
      <c r="L18" s="7">
        <f>24967.73-22632.73</f>
        <v>2335</v>
      </c>
      <c r="M18" s="7">
        <f>797459.09-83096.91</f>
        <v>714362.17999999993</v>
      </c>
      <c r="N18" s="8">
        <f>SUM(B18:M18)</f>
        <v>1193962.03</v>
      </c>
      <c r="O18" s="8"/>
    </row>
    <row r="19" spans="1:16" ht="11.1" x14ac:dyDescent="0.15">
      <c r="A19" s="9" t="s">
        <v>9</v>
      </c>
      <c r="B19" s="11">
        <f>SUM(B14:B18)</f>
        <v>10576997.300000001</v>
      </c>
      <c r="C19" s="11">
        <f t="shared" ref="C19:N19" si="1">SUM(C14:C18)</f>
        <v>543843.24</v>
      </c>
      <c r="D19" s="11">
        <f t="shared" si="1"/>
        <v>53097.119999999995</v>
      </c>
      <c r="E19" s="11">
        <f t="shared" si="1"/>
        <v>195310.64</v>
      </c>
      <c r="F19" s="11">
        <f t="shared" si="1"/>
        <v>0</v>
      </c>
      <c r="G19" s="11">
        <f t="shared" si="1"/>
        <v>129484.56999999999</v>
      </c>
      <c r="H19" s="11">
        <f t="shared" si="1"/>
        <v>551399.25</v>
      </c>
      <c r="I19" s="11">
        <f t="shared" si="1"/>
        <v>614741</v>
      </c>
      <c r="J19" s="11">
        <f t="shared" si="1"/>
        <v>2389110.9500000002</v>
      </c>
      <c r="K19" s="11">
        <f t="shared" si="1"/>
        <v>21201.999999999996</v>
      </c>
      <c r="L19" s="11">
        <f t="shared" si="1"/>
        <v>1597509.5</v>
      </c>
      <c r="M19" s="11">
        <f t="shared" si="1"/>
        <v>1376680.42</v>
      </c>
      <c r="N19" s="11">
        <f t="shared" si="1"/>
        <v>18049375.990000002</v>
      </c>
      <c r="O19" s="8"/>
      <c r="P19" s="8"/>
    </row>
    <row r="21" spans="1:16" s="5" customFormat="1" ht="11.1" x14ac:dyDescent="0.15">
      <c r="A21" s="5" t="s">
        <v>10</v>
      </c>
    </row>
    <row r="22" spans="1:16" ht="11.1" x14ac:dyDescent="0.15">
      <c r="A22" s="6" t="s">
        <v>2</v>
      </c>
      <c r="B22" s="7">
        <v>0</v>
      </c>
      <c r="C22" s="7">
        <v>6124.98</v>
      </c>
      <c r="D22" s="7">
        <v>0</v>
      </c>
      <c r="E22" s="7">
        <v>464634.37999999995</v>
      </c>
      <c r="F22" s="7">
        <v>0</v>
      </c>
      <c r="G22" s="7">
        <v>13.72</v>
      </c>
      <c r="H22" s="7">
        <v>44594.39</v>
      </c>
      <c r="I22" s="7">
        <v>349575.62</v>
      </c>
      <c r="J22" s="7">
        <v>1.79</v>
      </c>
      <c r="K22" s="7">
        <v>16648.8</v>
      </c>
      <c r="L22" s="7">
        <v>59161.8</v>
      </c>
      <c r="M22" s="7">
        <v>109888.50000000001</v>
      </c>
      <c r="N22" s="8">
        <f>SUM(B22:M22)</f>
        <v>1050643.98</v>
      </c>
    </row>
    <row r="23" spans="1:16" ht="11.1" x14ac:dyDescent="0.15">
      <c r="A23" s="9" t="s">
        <v>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6" ht="11.1" x14ac:dyDescent="0.15">
      <c r="A24" s="10" t="s">
        <v>4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8">
        <f>SUM(B24:M24)</f>
        <v>0</v>
      </c>
    </row>
    <row r="25" spans="1:16" ht="11.1" x14ac:dyDescent="0.15">
      <c r="A25" s="10" t="s">
        <v>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">
        <f>SUM(B25:M25)</f>
        <v>0</v>
      </c>
    </row>
    <row r="26" spans="1:16" ht="11.1" x14ac:dyDescent="0.15">
      <c r="A26" s="10" t="s">
        <v>6</v>
      </c>
      <c r="B26" s="7">
        <v>10000</v>
      </c>
      <c r="C26" s="7">
        <v>450</v>
      </c>
      <c r="D26" s="7">
        <v>13.86</v>
      </c>
      <c r="E26" s="7">
        <v>0</v>
      </c>
      <c r="F26" s="7">
        <v>0</v>
      </c>
      <c r="G26" s="7">
        <v>1000000</v>
      </c>
      <c r="H26" s="7">
        <v>0</v>
      </c>
      <c r="I26" s="7">
        <v>90</v>
      </c>
      <c r="J26" s="7">
        <v>62895</v>
      </c>
      <c r="K26" s="7">
        <v>5332.7</v>
      </c>
      <c r="L26" s="7">
        <v>0</v>
      </c>
      <c r="M26" s="7">
        <v>73205.66</v>
      </c>
      <c r="N26" s="8">
        <f>SUM(B26:M26)</f>
        <v>1151987.2199999997</v>
      </c>
      <c r="O26" s="8"/>
    </row>
    <row r="27" spans="1:16" ht="11.1" x14ac:dyDescent="0.15">
      <c r="A27" s="9" t="s">
        <v>11</v>
      </c>
      <c r="B27" s="11">
        <f t="shared" ref="B27" si="2">SUM(B22:B26)</f>
        <v>10000</v>
      </c>
      <c r="C27" s="11">
        <f t="shared" ref="C27" si="3">SUM(C22:C26)</f>
        <v>6574.98</v>
      </c>
      <c r="D27" s="11">
        <f t="shared" ref="D27" si="4">SUM(D22:D26)</f>
        <v>13.86</v>
      </c>
      <c r="E27" s="11">
        <f t="shared" ref="E27" si="5">SUM(E22:E26)</f>
        <v>464634.37999999995</v>
      </c>
      <c r="F27" s="11">
        <f t="shared" ref="F27" si="6">SUM(F22:F26)</f>
        <v>0</v>
      </c>
      <c r="G27" s="11">
        <f t="shared" ref="G27" si="7">SUM(G22:G26)</f>
        <v>1000013.72</v>
      </c>
      <c r="H27" s="11">
        <f t="shared" ref="H27" si="8">SUM(H22:H26)</f>
        <v>44594.39</v>
      </c>
      <c r="I27" s="11">
        <f t="shared" ref="I27" si="9">SUM(I22:I26)</f>
        <v>349665.62</v>
      </c>
      <c r="J27" s="11">
        <f t="shared" ref="J27" si="10">SUM(J22:J26)</f>
        <v>62896.79</v>
      </c>
      <c r="K27" s="11">
        <f t="shared" ref="K27" si="11">SUM(K22:K26)</f>
        <v>21981.5</v>
      </c>
      <c r="L27" s="11">
        <f t="shared" ref="L27:N27" si="12">SUM(L22:L26)</f>
        <v>59161.8</v>
      </c>
      <c r="M27" s="11">
        <f t="shared" si="12"/>
        <v>183094.16000000003</v>
      </c>
      <c r="N27" s="11">
        <f t="shared" si="12"/>
        <v>2202631.1999999997</v>
      </c>
      <c r="O27" s="8"/>
      <c r="P27" s="8"/>
    </row>
    <row r="29" spans="1:16" s="5" customFormat="1" ht="11.1" x14ac:dyDescent="0.15">
      <c r="A29" s="5" t="s">
        <v>12</v>
      </c>
    </row>
    <row r="30" spans="1:16" ht="11.1" x14ac:dyDescent="0.15">
      <c r="A30" s="6" t="s">
        <v>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f>SUM(B30:M30)</f>
        <v>0</v>
      </c>
    </row>
    <row r="31" spans="1:16" ht="11.1" x14ac:dyDescent="0.15">
      <c r="A31" s="9" t="s">
        <v>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ht="11.1" x14ac:dyDescent="0.15">
      <c r="A32" s="10" t="s">
        <v>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f>SUM(B32:M32)</f>
        <v>0</v>
      </c>
    </row>
    <row r="33" spans="1:16" ht="11.1" x14ac:dyDescent="0.15">
      <c r="A33" s="10" t="s">
        <v>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14">
        <v>0</v>
      </c>
      <c r="K33" s="14">
        <v>0</v>
      </c>
      <c r="L33" s="14">
        <v>0</v>
      </c>
      <c r="M33" s="14">
        <v>0</v>
      </c>
      <c r="N33" s="8">
        <f>SUM(B33:M33)</f>
        <v>0</v>
      </c>
    </row>
    <row r="34" spans="1:16" ht="11.1" x14ac:dyDescent="0.15">
      <c r="A34" s="10" t="s">
        <v>6</v>
      </c>
      <c r="B34" s="8">
        <v>177073.30999999994</v>
      </c>
      <c r="C34" s="8">
        <v>46760.020000000048</v>
      </c>
      <c r="D34" s="8">
        <v>76640.659999999974</v>
      </c>
      <c r="E34" s="8">
        <v>152075.45000000001</v>
      </c>
      <c r="F34" s="8">
        <f>-533424.8+600000</f>
        <v>66575.199999999953</v>
      </c>
      <c r="G34" s="8">
        <f>439100.39-500000</f>
        <v>-60899.609999999986</v>
      </c>
      <c r="H34" s="8">
        <f>299406.25+125477.37</f>
        <v>424883.62</v>
      </c>
      <c r="I34" s="8">
        <f>-434739.01+500000+35487.06</f>
        <v>100748.04999999999</v>
      </c>
      <c r="J34" s="8">
        <f>7949.26-6781.39</f>
        <v>1167.8699999999999</v>
      </c>
      <c r="K34" s="8">
        <f>171090.36+29035.99+8000</f>
        <v>208126.34999999998</v>
      </c>
      <c r="L34" s="8">
        <f>136875.21+22632.73</f>
        <v>159507.94</v>
      </c>
      <c r="M34" s="8">
        <f>86387.1799999996-200000+83096.91</f>
        <v>-30515.910000000396</v>
      </c>
      <c r="N34" s="8">
        <f>SUM(B34:M34)</f>
        <v>1322142.9499999995</v>
      </c>
      <c r="O34" s="8"/>
    </row>
    <row r="35" spans="1:16" ht="11.1" x14ac:dyDescent="0.15">
      <c r="A35" s="9" t="s">
        <v>13</v>
      </c>
      <c r="B35" s="11">
        <f t="shared" ref="B35:N35" si="13">SUM(B30:B34)</f>
        <v>177073.30999999994</v>
      </c>
      <c r="C35" s="11">
        <f t="shared" si="13"/>
        <v>46760.020000000048</v>
      </c>
      <c r="D35" s="11">
        <f t="shared" si="13"/>
        <v>76640.659999999974</v>
      </c>
      <c r="E35" s="11">
        <f t="shared" si="13"/>
        <v>152075.45000000001</v>
      </c>
      <c r="F35" s="11">
        <f t="shared" si="13"/>
        <v>66575.199999999953</v>
      </c>
      <c r="G35" s="11">
        <f t="shared" si="13"/>
        <v>-60899.609999999986</v>
      </c>
      <c r="H35" s="11">
        <f t="shared" si="13"/>
        <v>424883.62</v>
      </c>
      <c r="I35" s="11">
        <f t="shared" si="13"/>
        <v>100748.04999999999</v>
      </c>
      <c r="J35" s="11">
        <f t="shared" si="13"/>
        <v>1167.8699999999999</v>
      </c>
      <c r="K35" s="11">
        <f t="shared" si="13"/>
        <v>208126.34999999998</v>
      </c>
      <c r="L35" s="11">
        <f t="shared" si="13"/>
        <v>159507.94</v>
      </c>
      <c r="M35" s="11">
        <f t="shared" si="13"/>
        <v>-30515.910000000396</v>
      </c>
      <c r="N35" s="11">
        <f t="shared" si="13"/>
        <v>1322142.9499999995</v>
      </c>
      <c r="O35" s="8"/>
      <c r="P35" s="8"/>
    </row>
    <row r="37" spans="1:16" s="5" customFormat="1" ht="11.1" x14ac:dyDescent="0.15">
      <c r="A37" s="5" t="s">
        <v>14</v>
      </c>
    </row>
    <row r="38" spans="1:16" ht="11.1" x14ac:dyDescent="0.15">
      <c r="A38" s="6" t="s">
        <v>2</v>
      </c>
      <c r="B38" s="7">
        <v>749567.77</v>
      </c>
      <c r="C38" s="7">
        <v>36923.21</v>
      </c>
      <c r="D38" s="7">
        <v>0</v>
      </c>
      <c r="E38" s="7">
        <v>464634.37999999995</v>
      </c>
      <c r="F38" s="7">
        <v>88660.26</v>
      </c>
      <c r="G38" s="7">
        <v>13.72</v>
      </c>
      <c r="H38" s="7">
        <v>500182.32999999996</v>
      </c>
      <c r="I38" s="7">
        <v>1066160.17</v>
      </c>
      <c r="J38" s="7">
        <v>2659541.84</v>
      </c>
      <c r="K38" s="7">
        <v>16648.8</v>
      </c>
      <c r="L38" s="7">
        <v>1654336.3</v>
      </c>
      <c r="M38" s="7">
        <v>520456.60999999987</v>
      </c>
      <c r="N38" s="8">
        <f>SUM(B38:M38)</f>
        <v>7757125.3899999987</v>
      </c>
    </row>
    <row r="39" spans="1:16" ht="11.1" x14ac:dyDescent="0.15">
      <c r="A39" s="10" t="s">
        <v>4</v>
      </c>
      <c r="B39" s="7">
        <v>0</v>
      </c>
      <c r="C39" s="7">
        <v>0</v>
      </c>
      <c r="D39" s="7">
        <v>812351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1687500</v>
      </c>
      <c r="N39" s="8">
        <f>SUM(B39:M39)</f>
        <v>2499851</v>
      </c>
    </row>
    <row r="40" spans="1:16" ht="11.1" x14ac:dyDescent="0.15">
      <c r="A40" s="9" t="s">
        <v>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</row>
    <row r="41" spans="1:16" ht="11.1" x14ac:dyDescent="0.15">
      <c r="A41" s="10" t="s">
        <v>4</v>
      </c>
      <c r="B41" s="7">
        <v>10483215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8">
        <f>SUM(B41:M41)</f>
        <v>10483215</v>
      </c>
    </row>
    <row r="42" spans="1:16" ht="11.1" x14ac:dyDescent="0.15">
      <c r="A42" s="10" t="s">
        <v>5</v>
      </c>
      <c r="B42" s="7">
        <v>0</v>
      </c>
      <c r="C42" s="7">
        <v>321282.7</v>
      </c>
      <c r="D42" s="7">
        <v>0</v>
      </c>
      <c r="E42" s="7">
        <v>194013</v>
      </c>
      <c r="F42" s="7">
        <v>0</v>
      </c>
      <c r="G42" s="7">
        <v>0</v>
      </c>
      <c r="H42" s="7">
        <v>73698.759999999995</v>
      </c>
      <c r="I42" s="7">
        <v>0</v>
      </c>
      <c r="J42" s="7">
        <v>34087.06</v>
      </c>
      <c r="K42" s="7">
        <v>0</v>
      </c>
      <c r="L42" s="7">
        <v>0</v>
      </c>
      <c r="M42" s="7">
        <v>47209.600000000006</v>
      </c>
      <c r="N42" s="8">
        <f>SUM(B42:M42)</f>
        <v>670291.12</v>
      </c>
    </row>
    <row r="43" spans="1:16" ht="11.1" x14ac:dyDescent="0.15">
      <c r="A43" s="10" t="s">
        <v>6</v>
      </c>
      <c r="B43" s="7">
        <v>220513.43999999994</v>
      </c>
      <c r="C43" s="7">
        <v>256269.92000000007</v>
      </c>
      <c r="D43" s="7">
        <v>129751.63999999997</v>
      </c>
      <c r="E43" s="7">
        <v>153373.09000000003</v>
      </c>
      <c r="F43" s="7">
        <v>66575.199999999983</v>
      </c>
      <c r="G43" s="7">
        <v>1068584.96</v>
      </c>
      <c r="H43" s="7">
        <v>446996.17</v>
      </c>
      <c r="I43" s="7">
        <v>107774.04999999997</v>
      </c>
      <c r="J43" s="7">
        <v>64697.81</v>
      </c>
      <c r="K43" s="7">
        <v>234661.05000000002</v>
      </c>
      <c r="L43" s="7">
        <v>161842.94</v>
      </c>
      <c r="M43" s="7">
        <v>963938.9299999997</v>
      </c>
      <c r="N43" s="8">
        <f>SUM(B43:M43)</f>
        <v>3874979.1999999993</v>
      </c>
    </row>
    <row r="44" spans="1:16" ht="11.1" x14ac:dyDescent="0.15">
      <c r="A44" s="9" t="s">
        <v>14</v>
      </c>
      <c r="B44" s="11">
        <f>SUM(B38:B43)</f>
        <v>11453296.209999999</v>
      </c>
      <c r="C44" s="11">
        <f t="shared" ref="C44:N44" si="14">SUM(C38:C43)</f>
        <v>614475.83000000007</v>
      </c>
      <c r="D44" s="11">
        <f t="shared" si="14"/>
        <v>942102.64</v>
      </c>
      <c r="E44" s="11">
        <f t="shared" si="14"/>
        <v>812020.47</v>
      </c>
      <c r="F44" s="11">
        <f t="shared" si="14"/>
        <v>155235.45999999996</v>
      </c>
      <c r="G44" s="11">
        <f t="shared" si="14"/>
        <v>1068598.68</v>
      </c>
      <c r="H44" s="11">
        <f t="shared" si="14"/>
        <v>1020877.26</v>
      </c>
      <c r="I44" s="11">
        <f t="shared" si="14"/>
        <v>1173934.22</v>
      </c>
      <c r="J44" s="11">
        <f t="shared" si="14"/>
        <v>2758326.71</v>
      </c>
      <c r="K44" s="11">
        <f t="shared" si="14"/>
        <v>251309.85</v>
      </c>
      <c r="L44" s="11">
        <f t="shared" si="14"/>
        <v>1816179.24</v>
      </c>
      <c r="M44" s="11">
        <f t="shared" si="14"/>
        <v>3219105.1399999997</v>
      </c>
      <c r="N44" s="11">
        <f t="shared" si="14"/>
        <v>25285461.710000001</v>
      </c>
    </row>
    <row r="48" spans="1:16" ht="11.1" x14ac:dyDescent="0.15">
      <c r="H4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showGridLines="0" zoomScaleNormal="100" workbookViewId="0"/>
  </sheetViews>
  <sheetFormatPr defaultColWidth="8.85546875" defaultRowHeight="11.25" x14ac:dyDescent="0.2"/>
  <cols>
    <col min="1" max="1" width="28.140625" style="9" customWidth="1"/>
    <col min="2" max="8" width="13.28515625" style="9" customWidth="1"/>
    <col min="9" max="9" width="10.85546875" style="9" bestFit="1" customWidth="1"/>
    <col min="10" max="10" width="10" style="9" bestFit="1" customWidth="1"/>
    <col min="11" max="16384" width="8.85546875" style="9"/>
  </cols>
  <sheetData>
    <row r="2" spans="1:10" s="1" customFormat="1" ht="11.1" hidden="1" x14ac:dyDescent="0.1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</row>
    <row r="3" spans="1:10" s="2" customFormat="1" ht="11.1" x14ac:dyDescent="0.15">
      <c r="B3" s="3">
        <v>42736</v>
      </c>
      <c r="C3" s="3">
        <v>42767</v>
      </c>
      <c r="D3" s="3">
        <v>42795</v>
      </c>
      <c r="E3" s="3">
        <v>42826</v>
      </c>
      <c r="F3" s="3">
        <v>42856</v>
      </c>
      <c r="G3" s="3">
        <v>42887</v>
      </c>
      <c r="H3" s="12" t="s">
        <v>0</v>
      </c>
    </row>
    <row r="4" spans="1:10" s="5" customFormat="1" ht="11.1" x14ac:dyDescent="0.15">
      <c r="A4" s="5" t="s">
        <v>1</v>
      </c>
    </row>
    <row r="5" spans="1:10" ht="11.1" x14ac:dyDescent="0.15">
      <c r="A5" s="6" t="s">
        <v>2</v>
      </c>
      <c r="B5" s="7">
        <v>0</v>
      </c>
      <c r="C5" s="7">
        <v>0</v>
      </c>
      <c r="D5" s="7">
        <v>2571210</v>
      </c>
      <c r="E5" s="7">
        <v>501792</v>
      </c>
      <c r="F5" s="7">
        <v>0</v>
      </c>
      <c r="G5" s="7">
        <v>142474</v>
      </c>
      <c r="H5" s="7">
        <v>3215476</v>
      </c>
    </row>
    <row r="6" spans="1:10" ht="11.1" x14ac:dyDescent="0.15">
      <c r="A6" s="9" t="s">
        <v>3</v>
      </c>
      <c r="B6" s="7"/>
      <c r="C6" s="7"/>
      <c r="D6" s="7"/>
      <c r="E6" s="7"/>
      <c r="F6" s="7"/>
      <c r="G6" s="7"/>
      <c r="H6" s="7"/>
    </row>
    <row r="7" spans="1:10" ht="11.1" x14ac:dyDescent="0.15">
      <c r="A7" s="10" t="s">
        <v>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</row>
    <row r="8" spans="1:10" ht="11.1" x14ac:dyDescent="0.15">
      <c r="A8" s="10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10" ht="11.1" x14ac:dyDescent="0.15">
      <c r="A9" s="10" t="s">
        <v>6</v>
      </c>
      <c r="B9" s="7">
        <v>50000</v>
      </c>
      <c r="C9" s="7">
        <v>0</v>
      </c>
      <c r="D9" s="7">
        <v>0</v>
      </c>
      <c r="E9" s="7">
        <v>5460</v>
      </c>
      <c r="F9" s="7">
        <v>125</v>
      </c>
      <c r="G9" s="7">
        <v>148952</v>
      </c>
      <c r="H9" s="7">
        <f>SUM(B9:G9)</f>
        <v>204537</v>
      </c>
      <c r="I9" s="8"/>
    </row>
    <row r="10" spans="1:10" ht="11.1" x14ac:dyDescent="0.15">
      <c r="A10" s="9" t="s">
        <v>7</v>
      </c>
      <c r="B10" s="11">
        <v>50000</v>
      </c>
      <c r="C10" s="11">
        <v>0</v>
      </c>
      <c r="D10" s="11">
        <v>2571210</v>
      </c>
      <c r="E10" s="11">
        <v>507252</v>
      </c>
      <c r="F10" s="11">
        <v>125</v>
      </c>
      <c r="G10" s="11">
        <f>SUM(G5:G9)</f>
        <v>291426</v>
      </c>
      <c r="H10" s="11">
        <f>SUM(H5:H9)</f>
        <v>3420013</v>
      </c>
      <c r="I10" s="8"/>
      <c r="J10" s="8"/>
    </row>
    <row r="12" spans="1:10" s="5" customFormat="1" ht="11.1" x14ac:dyDescent="0.15">
      <c r="A12" s="5" t="s">
        <v>8</v>
      </c>
    </row>
    <row r="13" spans="1:10" ht="11.1" x14ac:dyDescent="0.15">
      <c r="A13" s="6" t="s">
        <v>2</v>
      </c>
      <c r="B13" s="7">
        <v>0</v>
      </c>
      <c r="C13" s="7">
        <v>0</v>
      </c>
      <c r="D13" s="7">
        <v>1711228.19</v>
      </c>
      <c r="E13" s="7">
        <v>0</v>
      </c>
      <c r="F13" s="7">
        <v>0</v>
      </c>
      <c r="G13" s="7">
        <v>68798.399999999994</v>
      </c>
      <c r="H13" s="7">
        <v>1780026.5899999999</v>
      </c>
    </row>
    <row r="14" spans="1:10" ht="11.1" x14ac:dyDescent="0.15">
      <c r="A14" s="9" t="s">
        <v>3</v>
      </c>
      <c r="B14" s="7"/>
      <c r="C14" s="7"/>
      <c r="D14" s="7"/>
      <c r="E14" s="7"/>
      <c r="F14" s="7"/>
      <c r="G14" s="7"/>
      <c r="H14" s="7"/>
    </row>
    <row r="15" spans="1:10" ht="11.1" x14ac:dyDescent="0.15">
      <c r="A15" s="10" t="s">
        <v>4</v>
      </c>
      <c r="B15" s="7">
        <v>4470000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4470000</v>
      </c>
    </row>
    <row r="16" spans="1:10" ht="11.1" x14ac:dyDescent="0.15">
      <c r="A16" s="10" t="s">
        <v>5</v>
      </c>
      <c r="B16" s="7">
        <v>0</v>
      </c>
      <c r="C16" s="7">
        <v>0</v>
      </c>
      <c r="D16" s="7">
        <v>0</v>
      </c>
      <c r="E16" s="7">
        <v>852737.47</v>
      </c>
      <c r="F16" s="7">
        <v>0</v>
      </c>
      <c r="G16" s="7">
        <v>0</v>
      </c>
      <c r="H16" s="7">
        <v>852737.47</v>
      </c>
    </row>
    <row r="17" spans="1:10" ht="11.1" x14ac:dyDescent="0.15">
      <c r="A17" s="10" t="s">
        <v>6</v>
      </c>
      <c r="B17" s="7">
        <v>70845.570000000007</v>
      </c>
      <c r="C17" s="7">
        <v>101020.18</v>
      </c>
      <c r="D17" s="7">
        <v>116826.65999999997</v>
      </c>
      <c r="E17" s="7">
        <v>64721.040000000008</v>
      </c>
      <c r="F17" s="7">
        <v>87799.43</v>
      </c>
      <c r="G17" s="7">
        <v>81429.91</v>
      </c>
      <c r="H17" s="7">
        <v>522642.78999999992</v>
      </c>
      <c r="I17" s="8"/>
    </row>
    <row r="18" spans="1:10" ht="11.1" x14ac:dyDescent="0.15">
      <c r="A18" s="9" t="s">
        <v>9</v>
      </c>
      <c r="B18" s="11">
        <v>4540845.57</v>
      </c>
      <c r="C18" s="11">
        <v>101020.18</v>
      </c>
      <c r="D18" s="11">
        <v>1828054.8499999999</v>
      </c>
      <c r="E18" s="11">
        <v>917458.51</v>
      </c>
      <c r="F18" s="11">
        <v>87799.43</v>
      </c>
      <c r="G18" s="11">
        <v>150228.31</v>
      </c>
      <c r="H18" s="11">
        <v>7625406.8499999996</v>
      </c>
      <c r="I18" s="8"/>
      <c r="J18" s="8"/>
    </row>
    <row r="20" spans="1:10" s="5" customFormat="1" ht="11.1" x14ac:dyDescent="0.15">
      <c r="A20" s="5" t="s">
        <v>10</v>
      </c>
    </row>
    <row r="21" spans="1:10" ht="11.1" x14ac:dyDescent="0.15">
      <c r="A21" s="6" t="s">
        <v>2</v>
      </c>
      <c r="B21" s="7">
        <v>0</v>
      </c>
      <c r="C21" s="7">
        <v>0</v>
      </c>
      <c r="D21" s="7">
        <v>313000</v>
      </c>
      <c r="E21" s="7">
        <v>0</v>
      </c>
      <c r="F21" s="7">
        <v>50221.54</v>
      </c>
      <c r="G21" s="7">
        <v>54051</v>
      </c>
      <c r="H21" s="7">
        <v>417272.54</v>
      </c>
    </row>
    <row r="22" spans="1:10" ht="11.1" x14ac:dyDescent="0.15">
      <c r="A22" s="9" t="s">
        <v>3</v>
      </c>
      <c r="B22" s="7"/>
      <c r="C22" s="7"/>
      <c r="D22" s="7"/>
      <c r="E22" s="7"/>
      <c r="F22" s="7"/>
      <c r="G22" s="7"/>
      <c r="H22" s="7"/>
    </row>
    <row r="23" spans="1:10" ht="11.1" x14ac:dyDescent="0.15">
      <c r="A23" s="10" t="s">
        <v>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10" ht="11.1" x14ac:dyDescent="0.15">
      <c r="A24" s="10" t="s">
        <v>5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10" ht="11.1" x14ac:dyDescent="0.15">
      <c r="A25" s="10" t="s">
        <v>6</v>
      </c>
      <c r="B25" s="7">
        <v>54.28</v>
      </c>
      <c r="C25" s="7">
        <v>531148.29</v>
      </c>
      <c r="D25" s="7">
        <v>2004456.65</v>
      </c>
      <c r="E25" s="7">
        <v>569.52</v>
      </c>
      <c r="F25" s="7">
        <v>261176.35</v>
      </c>
      <c r="G25" s="7">
        <v>40150.629999999997</v>
      </c>
      <c r="H25" s="7">
        <v>2837555.7199999997</v>
      </c>
      <c r="I25" s="8"/>
    </row>
    <row r="26" spans="1:10" ht="11.1" x14ac:dyDescent="0.15">
      <c r="A26" s="9" t="s">
        <v>11</v>
      </c>
      <c r="B26" s="11">
        <v>54.28</v>
      </c>
      <c r="C26" s="11">
        <v>531148.29</v>
      </c>
      <c r="D26" s="11">
        <v>2317456.65</v>
      </c>
      <c r="E26" s="11">
        <v>569.52</v>
      </c>
      <c r="F26" s="11">
        <v>311397.89</v>
      </c>
      <c r="G26" s="11">
        <v>94201.63</v>
      </c>
      <c r="H26" s="11">
        <v>3254828.26</v>
      </c>
      <c r="I26" s="8"/>
      <c r="J26" s="8"/>
    </row>
    <row r="28" spans="1:10" s="5" customFormat="1" ht="11.1" x14ac:dyDescent="0.15">
      <c r="A28" s="5" t="s">
        <v>12</v>
      </c>
    </row>
    <row r="29" spans="1:10" ht="11.1" x14ac:dyDescent="0.15">
      <c r="A29" s="6" t="s">
        <v>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10" ht="11.1" x14ac:dyDescent="0.15">
      <c r="A30" s="13" t="s">
        <v>4</v>
      </c>
      <c r="B30" s="8">
        <v>0</v>
      </c>
      <c r="C30" s="8">
        <v>0</v>
      </c>
      <c r="D30" s="8">
        <v>0</v>
      </c>
      <c r="E30" s="8">
        <v>2642300</v>
      </c>
      <c r="F30" s="8">
        <v>0</v>
      </c>
      <c r="G30" s="8">
        <v>0</v>
      </c>
      <c r="H30" s="8">
        <v>2642300</v>
      </c>
    </row>
    <row r="31" spans="1:10" ht="11.1" x14ac:dyDescent="0.15">
      <c r="A31" s="9" t="s">
        <v>3</v>
      </c>
      <c r="B31" s="8"/>
      <c r="C31" s="8"/>
      <c r="D31" s="8"/>
      <c r="E31" s="8"/>
      <c r="F31" s="8"/>
      <c r="G31" s="8"/>
      <c r="H31" s="8"/>
    </row>
    <row r="32" spans="1:10" ht="11.1" x14ac:dyDescent="0.15">
      <c r="A32" s="10" t="s">
        <v>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</row>
    <row r="33" spans="1:10" ht="11.1" x14ac:dyDescent="0.15">
      <c r="A33" s="10" t="s">
        <v>5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1:10" ht="11.1" x14ac:dyDescent="0.15">
      <c r="A34" s="10" t="s">
        <v>6</v>
      </c>
      <c r="B34" s="8">
        <v>164655.24999999994</v>
      </c>
      <c r="C34" s="8">
        <v>464738.48999999993</v>
      </c>
      <c r="D34" s="8">
        <v>-283119.5799999999</v>
      </c>
      <c r="E34" s="8">
        <v>41163.550000000003</v>
      </c>
      <c r="F34" s="8">
        <v>36623.829999999987</v>
      </c>
      <c r="G34" s="8">
        <v>39593.19</v>
      </c>
      <c r="H34" s="8">
        <v>463654.72999999992</v>
      </c>
      <c r="I34" s="8"/>
    </row>
    <row r="35" spans="1:10" ht="11.1" x14ac:dyDescent="0.15">
      <c r="A35" s="9" t="s">
        <v>13</v>
      </c>
      <c r="B35" s="11">
        <v>164655.24999999994</v>
      </c>
      <c r="C35" s="11">
        <v>464738.48999999993</v>
      </c>
      <c r="D35" s="11">
        <v>-283119.5799999999</v>
      </c>
      <c r="E35" s="11">
        <v>2683463.5499999998</v>
      </c>
      <c r="F35" s="11">
        <v>36623.829999999987</v>
      </c>
      <c r="G35" s="11">
        <v>39593.19</v>
      </c>
      <c r="H35" s="11">
        <v>3105954.73</v>
      </c>
      <c r="I35" s="8"/>
      <c r="J35" s="8"/>
    </row>
    <row r="37" spans="1:10" s="5" customFormat="1" x14ac:dyDescent="0.2">
      <c r="A37" s="5" t="s">
        <v>14</v>
      </c>
    </row>
    <row r="38" spans="1:10" x14ac:dyDescent="0.2">
      <c r="A38" s="6" t="s">
        <v>2</v>
      </c>
      <c r="B38" s="7">
        <v>0</v>
      </c>
      <c r="C38" s="7">
        <v>0</v>
      </c>
      <c r="D38" s="7">
        <v>4595438.1900000004</v>
      </c>
      <c r="E38" s="7">
        <f>3144092-2642300</f>
        <v>501792</v>
      </c>
      <c r="F38" s="7">
        <v>50221.54</v>
      </c>
      <c r="G38" s="7">
        <v>265323.40000000002</v>
      </c>
      <c r="H38" s="7">
        <f>8055075.13-2642300</f>
        <v>5412775.1299999999</v>
      </c>
    </row>
    <row r="39" spans="1:10" x14ac:dyDescent="0.2">
      <c r="A39" s="13" t="s">
        <v>4</v>
      </c>
      <c r="B39" s="7">
        <v>0</v>
      </c>
      <c r="C39" s="7">
        <v>0</v>
      </c>
      <c r="D39" s="7">
        <v>0</v>
      </c>
      <c r="E39" s="7">
        <v>2642300</v>
      </c>
      <c r="F39" s="7">
        <v>0</v>
      </c>
      <c r="G39" s="7">
        <v>0</v>
      </c>
      <c r="H39" s="7">
        <v>2642300</v>
      </c>
    </row>
    <row r="40" spans="1:10" x14ac:dyDescent="0.2">
      <c r="A40" s="9" t="s">
        <v>3</v>
      </c>
      <c r="B40" s="7"/>
      <c r="C40" s="7"/>
      <c r="D40" s="7"/>
      <c r="E40" s="7"/>
      <c r="F40" s="7"/>
      <c r="G40" s="7"/>
      <c r="H40" s="7"/>
    </row>
    <row r="41" spans="1:10" x14ac:dyDescent="0.2">
      <c r="A41" s="10" t="s">
        <v>4</v>
      </c>
      <c r="B41" s="7">
        <v>4470000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4470000</v>
      </c>
    </row>
    <row r="42" spans="1:10" x14ac:dyDescent="0.2">
      <c r="A42" s="10" t="s">
        <v>5</v>
      </c>
      <c r="B42" s="7">
        <v>0</v>
      </c>
      <c r="C42" s="7">
        <v>0</v>
      </c>
      <c r="D42" s="7">
        <v>0</v>
      </c>
      <c r="E42" s="7">
        <v>852737.47</v>
      </c>
      <c r="F42" s="7">
        <v>0</v>
      </c>
      <c r="G42" s="7">
        <v>0</v>
      </c>
      <c r="H42" s="7">
        <v>852737.47</v>
      </c>
    </row>
    <row r="43" spans="1:10" x14ac:dyDescent="0.2">
      <c r="A43" s="10" t="s">
        <v>6</v>
      </c>
      <c r="B43" s="7">
        <v>285555.09999999998</v>
      </c>
      <c r="C43" s="7">
        <v>1096906.96</v>
      </c>
      <c r="D43" s="7">
        <v>1838163.73</v>
      </c>
      <c r="E43" s="7">
        <v>111914.11000000002</v>
      </c>
      <c r="F43" s="7">
        <v>385724.61</v>
      </c>
      <c r="G43" s="7">
        <f>G9+G17+G25+G34</f>
        <v>310125.73</v>
      </c>
      <c r="H43" s="7">
        <f>SUM(B43:G43)</f>
        <v>4028390.2399999998</v>
      </c>
    </row>
    <row r="44" spans="1:10" x14ac:dyDescent="0.2">
      <c r="A44" s="9" t="s">
        <v>14</v>
      </c>
      <c r="B44" s="11">
        <v>4755555.0999999996</v>
      </c>
      <c r="C44" s="11">
        <v>1096906.96</v>
      </c>
      <c r="D44" s="11">
        <v>6433601.9199999999</v>
      </c>
      <c r="E44" s="11">
        <v>4108743.5799999996</v>
      </c>
      <c r="F44" s="11">
        <v>435946.14999999997</v>
      </c>
      <c r="G44" s="11">
        <f>SUM(G38:G43)</f>
        <v>575449.13</v>
      </c>
      <c r="H44" s="11">
        <f>SUM(H38:H43)</f>
        <v>17406202.84</v>
      </c>
    </row>
    <row r="48" spans="1:10" x14ac:dyDescent="0.2">
      <c r="H48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/>
  </sheetViews>
  <sheetFormatPr defaultColWidth="11.42578125" defaultRowHeight="15" x14ac:dyDescent="0.25"/>
  <cols>
    <col min="1" max="1" width="50.140625" customWidth="1"/>
    <col min="2" max="6" width="16" customWidth="1"/>
  </cols>
  <sheetData>
    <row r="1" spans="1:6" x14ac:dyDescent="0.2">
      <c r="A1" s="15" t="s">
        <v>21</v>
      </c>
    </row>
    <row r="2" spans="1:6" ht="53.1" customHeight="1" x14ac:dyDescent="0.2">
      <c r="B2" s="18" t="s">
        <v>14</v>
      </c>
      <c r="C2" s="18" t="s">
        <v>2</v>
      </c>
      <c r="D2" s="18" t="s">
        <v>29</v>
      </c>
      <c r="E2" s="18" t="s">
        <v>28</v>
      </c>
      <c r="F2" s="18" t="s">
        <v>23</v>
      </c>
    </row>
    <row r="3" spans="1:6" x14ac:dyDescent="0.2">
      <c r="A3" t="s">
        <v>22</v>
      </c>
      <c r="B3" s="19">
        <f>SUM('2016 Monthly'!H19:M19)</f>
        <v>6550643.1200000001</v>
      </c>
      <c r="C3" s="19">
        <f>SUM('2016 Monthly'!H14:M14)</f>
        <v>5628065.0300000003</v>
      </c>
      <c r="D3" s="19">
        <f>B3-C3</f>
        <v>922578.08999999985</v>
      </c>
      <c r="E3" s="19">
        <f>SUM('2016 Monthly'!H16:M17)</f>
        <v>154995.41999999998</v>
      </c>
      <c r="F3" s="19">
        <f>SUM('2016 Monthly'!H18:M18)</f>
        <v>767582.66999999993</v>
      </c>
    </row>
    <row r="4" spans="1:6" x14ac:dyDescent="0.2">
      <c r="A4" t="s">
        <v>25</v>
      </c>
      <c r="B4" s="16">
        <f>'2017 Monthly'!H18</f>
        <v>7625406.8499999996</v>
      </c>
      <c r="C4" s="16">
        <f>'2017 Monthly'!H13</f>
        <v>1780026.5899999999</v>
      </c>
      <c r="D4" s="19">
        <f t="shared" ref="D4:D6" si="0">B4-C4</f>
        <v>5845380.2599999998</v>
      </c>
      <c r="E4" s="16">
        <f>SUM('2017 Monthly'!H15:H16)</f>
        <v>5322737.47</v>
      </c>
      <c r="F4" s="16">
        <f>'2017 Monthly'!H17</f>
        <v>522642.78999999992</v>
      </c>
    </row>
    <row r="5" spans="1:6" x14ac:dyDescent="0.2">
      <c r="C5" s="16"/>
      <c r="D5" s="19"/>
      <c r="F5" s="16"/>
    </row>
    <row r="6" spans="1:6" x14ac:dyDescent="0.2">
      <c r="A6" t="s">
        <v>24</v>
      </c>
      <c r="B6" s="17">
        <f>SUM(B3:B4)</f>
        <v>14176049.969999999</v>
      </c>
      <c r="C6" s="17">
        <f t="shared" ref="C6:F6" si="1">SUM(C3:C4)</f>
        <v>7408091.6200000001</v>
      </c>
      <c r="D6" s="19">
        <f t="shared" si="0"/>
        <v>6767958.3499999987</v>
      </c>
      <c r="E6" s="17">
        <f>SUM(E3:E4)</f>
        <v>5477732.8899999997</v>
      </c>
      <c r="F6" s="17">
        <f t="shared" si="1"/>
        <v>1290225.46</v>
      </c>
    </row>
    <row r="8" spans="1:6" ht="30" x14ac:dyDescent="0.2">
      <c r="A8" s="18" t="s">
        <v>26</v>
      </c>
      <c r="B8" s="17">
        <v>6148198</v>
      </c>
    </row>
    <row r="9" spans="1:6" x14ac:dyDescent="0.2">
      <c r="A9" t="s">
        <v>27</v>
      </c>
      <c r="B9" s="20">
        <f>(B8-E6)/F6</f>
        <v>0.51964957349392282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2016 Monthly</vt:lpstr>
      <vt:lpstr>2017 Monthly</vt:lpstr>
      <vt:lpstr>GiveWell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2017-11-20T23:26:09Z</dcterms:created>
  <dcterms:modified xsi:type="dcterms:W3CDTF">2017-11-20T23:26:14Z</dcterms:modified>
</cp:coreProperties>
</file>