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3740"/>
  </bookViews>
  <sheets>
    <sheet name="Niger" sheetId="1" r:id="rId1"/>
    <sheet name="CDI" sheetId="2" r:id="rId2"/>
    <sheet name="DRC" sheetId="3" r:id="rId3"/>
    <sheet name="Malawi" sheetId="4" r:id="rId4"/>
    <sheet name="Tanzania" sheetId="5" r:id="rId5"/>
    <sheet name="Uganda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F25" i="6" s="1"/>
  <c r="E23" i="6"/>
  <c r="E25" i="6" s="1"/>
  <c r="G23" i="5"/>
  <c r="F23" i="5"/>
  <c r="E23" i="5"/>
  <c r="E25" i="5" s="1"/>
  <c r="G22" i="6"/>
  <c r="G23" i="6" s="1"/>
  <c r="F25" i="5"/>
  <c r="G25" i="6" l="1"/>
  <c r="G26" i="6" s="1"/>
  <c r="G25" i="5"/>
  <c r="G26" i="5" s="1"/>
  <c r="M13" i="4" l="1"/>
  <c r="L6" i="3"/>
  <c r="E17" i="3" l="1"/>
  <c r="E19" i="3" s="1"/>
  <c r="E19" i="2" l="1"/>
  <c r="E21" i="2" s="1"/>
  <c r="E26" i="4" l="1"/>
  <c r="F23" i="4"/>
  <c r="F26" i="4" s="1"/>
  <c r="G22" i="4"/>
  <c r="G21" i="4"/>
  <c r="G20" i="4"/>
  <c r="G19" i="4"/>
  <c r="G18" i="4"/>
  <c r="G17" i="4"/>
  <c r="G16" i="4"/>
  <c r="G15" i="4"/>
  <c r="G14" i="4"/>
  <c r="G13" i="4"/>
  <c r="G12" i="4"/>
  <c r="G11" i="4"/>
  <c r="G26" i="4" l="1"/>
  <c r="G27" i="4" s="1"/>
  <c r="G23" i="4"/>
  <c r="D17" i="3" l="1"/>
  <c r="D19" i="3" s="1"/>
  <c r="F19" i="3" s="1"/>
  <c r="F20" i="3" s="1"/>
  <c r="F17" i="3" l="1"/>
  <c r="D20" i="2" l="1"/>
  <c r="F18" i="2"/>
  <c r="D17" i="2"/>
  <c r="F17" i="2" s="1"/>
  <c r="F16" i="2"/>
  <c r="D15" i="2"/>
  <c r="F15" i="2" s="1"/>
  <c r="D14" i="2"/>
  <c r="F14" i="2" s="1"/>
  <c r="D13" i="2"/>
  <c r="F13" i="2" s="1"/>
  <c r="F12" i="2"/>
  <c r="D12" i="2"/>
  <c r="F11" i="2"/>
  <c r="D10" i="2"/>
  <c r="F10" i="2" s="1"/>
  <c r="D9" i="2"/>
  <c r="F9" i="2" s="1"/>
  <c r="D8" i="2"/>
  <c r="F8" i="2" s="1"/>
  <c r="D19" i="2" l="1"/>
  <c r="F19" i="2" l="1"/>
  <c r="D21" i="2"/>
  <c r="F21" i="2" s="1"/>
  <c r="F22" i="2" s="1"/>
  <c r="D18" i="1"/>
  <c r="D17" i="1"/>
  <c r="E16" i="1"/>
  <c r="F16" i="1" s="1"/>
  <c r="F15" i="1"/>
  <c r="E14" i="1"/>
  <c r="F14" i="1" s="1"/>
  <c r="E13" i="1"/>
  <c r="F13" i="1" s="1"/>
  <c r="E12" i="1"/>
  <c r="F12" i="1" s="1"/>
  <c r="E11" i="1"/>
  <c r="F11" i="1" s="1"/>
  <c r="F10" i="1"/>
  <c r="F9" i="1"/>
  <c r="F8" i="1"/>
  <c r="E7" i="1"/>
  <c r="E17" i="1" s="1"/>
  <c r="E19" i="1" s="1"/>
  <c r="D19" i="1" l="1"/>
  <c r="F19" i="1" s="1"/>
  <c r="F20" i="1" s="1"/>
  <c r="F17" i="1"/>
  <c r="F7" i="1"/>
</calcChain>
</file>

<file path=xl/sharedStrings.xml><?xml version="1.0" encoding="utf-8"?>
<sst xmlns="http://schemas.openxmlformats.org/spreadsheetml/2006/main" count="169" uniqueCount="60">
  <si>
    <t>1. Country Management</t>
  </si>
  <si>
    <t>2. Advocacy</t>
  </si>
  <si>
    <t>3 Strategic planning</t>
  </si>
  <si>
    <t>4. Mapping</t>
  </si>
  <si>
    <t>5. Monitoring and Evaluation</t>
  </si>
  <si>
    <t>6. Drug Logistics</t>
  </si>
  <si>
    <t>7. Social Mobilisation</t>
  </si>
  <si>
    <t>8. MDA Training</t>
  </si>
  <si>
    <t>9. MDA Registration</t>
  </si>
  <si>
    <t>10. MDA Distribution</t>
  </si>
  <si>
    <t>COUNTRY COSTS SUB TOTAL</t>
  </si>
  <si>
    <t>Indirect Cost</t>
  </si>
  <si>
    <t>GRAND TOTAL</t>
  </si>
  <si>
    <t>Percentage Variance</t>
  </si>
  <si>
    <t>Activities</t>
  </si>
  <si>
    <t>Revised Budget</t>
  </si>
  <si>
    <t>Actual Expenditure</t>
  </si>
  <si>
    <t>Variance(underspend)</t>
  </si>
  <si>
    <t>Total</t>
  </si>
  <si>
    <t>Indirect costs</t>
  </si>
  <si>
    <t>Opening Balance as at 01/04/2015</t>
  </si>
  <si>
    <t>Total expended</t>
  </si>
  <si>
    <t>Closing Balance as at 31/03/2016</t>
  </si>
  <si>
    <t>Total received</t>
  </si>
  <si>
    <t>3. Strategic Planning</t>
  </si>
  <si>
    <t>5. Monitoring &amp; Evaluation</t>
  </si>
  <si>
    <t>7. Social Mobilization</t>
  </si>
  <si>
    <t>8. Drug Distribution Training</t>
  </si>
  <si>
    <t>9. Drug Distribution Registration</t>
  </si>
  <si>
    <t>10. Drug Distribution</t>
  </si>
  <si>
    <t>11. Drug Distribution Supervision</t>
  </si>
  <si>
    <t>12. Global management</t>
  </si>
  <si>
    <t>Activites</t>
  </si>
  <si>
    <t>* 1GBP = 870 CFA ( from 2015-2016 budget)</t>
  </si>
  <si>
    <t>* 1GBP = 1.50 USD ( from Imperial College website)</t>
  </si>
  <si>
    <t>Malawi</t>
  </si>
  <si>
    <r>
      <t>Budget Vs Actuals 2015-2016 (in GBP)</t>
    </r>
    <r>
      <rPr>
        <vertAlign val="superscript"/>
        <sz val="12"/>
        <color theme="1"/>
        <rFont val="Arial"/>
        <family val="2"/>
      </rPr>
      <t>*</t>
    </r>
  </si>
  <si>
    <t>DRC</t>
  </si>
  <si>
    <t>Cote d'Ivoire</t>
  </si>
  <si>
    <t>Niger</t>
  </si>
  <si>
    <t>* 1GBP = 670 MWK ( from 2015-2016 budget)</t>
  </si>
  <si>
    <t>Less Comic relief **</t>
  </si>
  <si>
    <t>2015 -2016 Niger Bank reconciliation (CFA)</t>
  </si>
  <si>
    <t>2015 -2016 DRC  Bank reconciliation (USD)</t>
  </si>
  <si>
    <t>*  1GBP = 923 CFA (from 2015-2016 amended contract)</t>
  </si>
  <si>
    <t>11. MDA Supervision</t>
  </si>
  <si>
    <t>** 4 districts  were funded by Comic relief for MDA implementation: Dedza, Dowa,Ntchisi and Salima.</t>
  </si>
  <si>
    <t>2015 -2016 Malawi Bank reconciliation (MWK)</t>
  </si>
  <si>
    <t>2015 -2016 CDI Bank reconciliation (CFA)</t>
  </si>
  <si>
    <t>Tanzania</t>
  </si>
  <si>
    <t>Budget</t>
  </si>
  <si>
    <t>2015 -2016 Tanzania Bank reconciliation (TZS)</t>
  </si>
  <si>
    <t>* 1GBP = 3045 TZS ( from 2015-2016 budget)</t>
  </si>
  <si>
    <t>* 1GBP = 4200 UGX ( from 2015-2016 budget)</t>
  </si>
  <si>
    <t>Uganda</t>
  </si>
  <si>
    <t>2015 -2016 Uganda Bank reconciliation (UGX)</t>
  </si>
  <si>
    <t>£ (FX 3045)</t>
  </si>
  <si>
    <t>Africa Capacity Building</t>
  </si>
  <si>
    <t>Extra 7 staff salaries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</si>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</sst>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medium">
        <color auto="1"/>
      </right>
      <top style="medium">
        <color theme="1" tint="0.499984740745262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164" fontId="6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164" fontId="3" fillId="5" borderId="12" xfId="0" applyNumberFormat="1" applyFont="1" applyFill="1" applyBorder="1" applyAlignment="1" applyProtection="1">
      <alignment vertical="center" wrapText="1"/>
      <protection hidden="1"/>
    </xf>
    <xf numFmtId="164" fontId="0" fillId="6" borderId="13" xfId="0" applyNumberFormat="1" applyFont="1" applyFill="1" applyBorder="1" applyAlignment="1" applyProtection="1">
      <alignment vertical="center" wrapText="1"/>
      <protection hidden="1"/>
    </xf>
    <xf numFmtId="164" fontId="3" fillId="0" borderId="14" xfId="0" applyNumberFormat="1" applyFont="1" applyBorder="1" applyAlignment="1" applyProtection="1">
      <alignment vertical="center" wrapText="1"/>
      <protection hidden="1"/>
    </xf>
    <xf numFmtId="164" fontId="3" fillId="5" borderId="15" xfId="0" applyNumberFormat="1" applyFont="1" applyFill="1" applyBorder="1" applyAlignment="1" applyProtection="1">
      <alignment vertical="center" wrapText="1"/>
      <protection hidden="1"/>
    </xf>
    <xf numFmtId="164" fontId="3" fillId="6" borderId="16" xfId="0" applyNumberFormat="1" applyFont="1" applyFill="1" applyBorder="1" applyAlignment="1" applyProtection="1">
      <alignment vertical="center" wrapText="1"/>
      <protection hidden="1"/>
    </xf>
    <xf numFmtId="0" fontId="0" fillId="4" borderId="19" xfId="0" applyFont="1" applyFill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9" fontId="3" fillId="0" borderId="22" xfId="0" applyNumberFormat="1" applyFont="1" applyBorder="1" applyAlignment="1" applyProtection="1">
      <alignment vertical="center" wrapText="1"/>
      <protection hidden="1"/>
    </xf>
    <xf numFmtId="0" fontId="0" fillId="3" borderId="0" xfId="0" applyFill="1" applyBorder="1"/>
    <xf numFmtId="164" fontId="6" fillId="5" borderId="24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12" xfId="0" applyNumberFormat="1" applyFont="1" applyFill="1" applyBorder="1" applyAlignment="1" applyProtection="1">
      <alignment vertical="center" wrapText="1"/>
      <protection hidden="1"/>
    </xf>
    <xf numFmtId="166" fontId="3" fillId="5" borderId="15" xfId="0" applyNumberFormat="1" applyFont="1" applyFill="1" applyBorder="1" applyAlignment="1" applyProtection="1">
      <alignment vertical="center" wrapText="1"/>
      <protection hidden="1"/>
    </xf>
    <xf numFmtId="166" fontId="3" fillId="6" borderId="13" xfId="0" applyNumberFormat="1" applyFont="1" applyFill="1" applyBorder="1" applyAlignment="1" applyProtection="1">
      <alignment vertical="center" wrapText="1"/>
      <protection hidden="1"/>
    </xf>
    <xf numFmtId="166" fontId="3" fillId="6" borderId="16" xfId="0" applyNumberFormat="1" applyFont="1" applyFill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vertical="center" wrapText="1"/>
      <protection hidden="1"/>
    </xf>
    <xf numFmtId="166" fontId="3" fillId="0" borderId="14" xfId="0" applyNumberFormat="1" applyFont="1" applyBorder="1" applyAlignment="1" applyProtection="1">
      <alignment vertical="center" wrapText="1"/>
      <protection hidden="1"/>
    </xf>
    <xf numFmtId="164" fontId="3" fillId="6" borderId="13" xfId="0" applyNumberFormat="1" applyFont="1" applyFill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9" fontId="3" fillId="0" borderId="8" xfId="0" applyNumberFormat="1" applyFont="1" applyBorder="1" applyAlignment="1" applyProtection="1">
      <alignment vertical="center" wrapText="1"/>
      <protection hidden="1"/>
    </xf>
    <xf numFmtId="165" fontId="0" fillId="3" borderId="0" xfId="0" applyNumberFormat="1" applyFill="1"/>
    <xf numFmtId="164" fontId="6" fillId="5" borderId="26" xfId="0" applyNumberFormat="1" applyFont="1" applyFill="1" applyBorder="1" applyAlignment="1" applyProtection="1">
      <alignment horizontal="center" vertical="center" wrapText="1"/>
      <protection hidden="1"/>
    </xf>
    <xf numFmtId="164" fontId="6" fillId="6" borderId="2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6" xfId="0" applyNumberFormat="1" applyFont="1" applyBorder="1" applyAlignment="1" applyProtection="1">
      <alignment vertical="center" wrapText="1"/>
      <protection hidden="1"/>
    </xf>
    <xf numFmtId="166" fontId="3" fillId="5" borderId="31" xfId="0" applyNumberFormat="1" applyFont="1" applyFill="1" applyBorder="1" applyAlignment="1" applyProtection="1">
      <alignment vertical="center" wrapText="1"/>
      <protection hidden="1"/>
    </xf>
    <xf numFmtId="166" fontId="3" fillId="6" borderId="32" xfId="0" applyNumberFormat="1" applyFont="1" applyFill="1" applyBorder="1" applyAlignment="1" applyProtection="1">
      <alignment vertical="center" wrapText="1"/>
      <protection hidden="1"/>
    </xf>
    <xf numFmtId="166" fontId="3" fillId="0" borderId="32" xfId="0" applyNumberFormat="1" applyFont="1" applyBorder="1" applyAlignment="1" applyProtection="1">
      <alignment vertical="center" wrapText="1"/>
      <protection hidden="1"/>
    </xf>
    <xf numFmtId="0" fontId="0" fillId="8" borderId="39" xfId="0" applyFill="1" applyBorder="1"/>
    <xf numFmtId="0" fontId="0" fillId="8" borderId="0" xfId="0" applyFill="1" applyBorder="1"/>
    <xf numFmtId="0" fontId="0" fillId="8" borderId="38" xfId="0" applyFill="1" applyBorder="1"/>
    <xf numFmtId="0" fontId="0" fillId="8" borderId="36" xfId="0" applyFill="1" applyBorder="1"/>
    <xf numFmtId="0" fontId="0" fillId="8" borderId="37" xfId="0" applyFill="1" applyBorder="1"/>
    <xf numFmtId="0" fontId="0" fillId="8" borderId="15" xfId="0" applyFill="1" applyBorder="1"/>
    <xf numFmtId="166" fontId="3" fillId="6" borderId="30" xfId="0" applyNumberFormat="1" applyFont="1" applyFill="1" applyBorder="1" applyAlignment="1" applyProtection="1">
      <alignment vertical="center" wrapText="1"/>
      <protection hidden="1"/>
    </xf>
    <xf numFmtId="166" fontId="3" fillId="5" borderId="30" xfId="0" applyNumberFormat="1" applyFont="1" applyFill="1" applyBorder="1" applyAlignment="1" applyProtection="1">
      <alignment vertical="center" wrapText="1"/>
      <protection hidden="1"/>
    </xf>
    <xf numFmtId="165" fontId="3" fillId="6" borderId="16" xfId="0" applyNumberFormat="1" applyFont="1" applyFill="1" applyBorder="1" applyAlignment="1" applyProtection="1">
      <alignment vertical="center" wrapText="1"/>
      <protection hidden="1"/>
    </xf>
    <xf numFmtId="0" fontId="0" fillId="3" borderId="20" xfId="0" applyFill="1" applyBorder="1"/>
    <xf numFmtId="165" fontId="0" fillId="3" borderId="0" xfId="1" applyFont="1" applyFill="1" applyBorder="1"/>
    <xf numFmtId="0" fontId="0" fillId="3" borderId="40" xfId="0" applyFill="1" applyBorder="1"/>
    <xf numFmtId="9" fontId="2" fillId="2" borderId="22" xfId="2" applyNumberFormat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vertical="center"/>
      <protection hidden="1"/>
    </xf>
    <xf numFmtId="165" fontId="0" fillId="3" borderId="0" xfId="1" applyFont="1" applyFill="1"/>
    <xf numFmtId="164" fontId="3" fillId="5" borderId="30" xfId="0" applyNumberFormat="1" applyFont="1" applyFill="1" applyBorder="1" applyAlignment="1" applyProtection="1">
      <alignment vertical="center" wrapText="1"/>
      <protection hidden="1"/>
    </xf>
    <xf numFmtId="164" fontId="3" fillId="6" borderId="30" xfId="0" applyNumberFormat="1" applyFont="1" applyFill="1" applyBorder="1" applyAlignment="1" applyProtection="1">
      <alignment vertical="center" wrapText="1"/>
      <protection hidden="1"/>
    </xf>
    <xf numFmtId="164" fontId="3" fillId="0" borderId="16" xfId="0" applyNumberFormat="1" applyFont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wrapText="1"/>
      <protection hidden="1"/>
    </xf>
    <xf numFmtId="0" fontId="0" fillId="3" borderId="0" xfId="0" applyFill="1" applyAlignment="1">
      <alignment horizontal="center" vertical="center"/>
    </xf>
    <xf numFmtId="0" fontId="6" fillId="3" borderId="17" xfId="0" applyFont="1" applyFill="1" applyBorder="1" applyAlignment="1" applyProtection="1">
      <alignment vertical="center" wrapText="1"/>
      <protection hidden="1"/>
    </xf>
    <xf numFmtId="164" fontId="6" fillId="3" borderId="18" xfId="3" applyNumberFormat="1" applyFont="1" applyFill="1" applyBorder="1" applyAlignment="1" applyProtection="1">
      <alignment vertical="center" wrapText="1"/>
      <protection hidden="1"/>
    </xf>
    <xf numFmtId="166" fontId="6" fillId="3" borderId="18" xfId="3" applyNumberFormat="1" applyFont="1" applyFill="1" applyBorder="1" applyAlignment="1" applyProtection="1">
      <alignment vertical="center" wrapText="1"/>
      <protection hidden="1"/>
    </xf>
    <xf numFmtId="166" fontId="6" fillId="3" borderId="33" xfId="4" applyNumberFormat="1" applyFont="1" applyFill="1" applyBorder="1" applyAlignment="1" applyProtection="1">
      <alignment vertical="center" wrapText="1"/>
      <protection hidden="1"/>
    </xf>
    <xf numFmtId="166" fontId="6" fillId="3" borderId="41" xfId="4" applyNumberFormat="1" applyFont="1" applyFill="1" applyBorder="1" applyAlignment="1" applyProtection="1">
      <alignment vertical="center" wrapText="1"/>
      <protection hidden="1"/>
    </xf>
    <xf numFmtId="0" fontId="6" fillId="3" borderId="9" xfId="0" applyFont="1" applyFill="1" applyBorder="1"/>
    <xf numFmtId="164" fontId="6" fillId="3" borderId="42" xfId="3" applyNumberFormat="1" applyFont="1" applyFill="1" applyBorder="1" applyAlignment="1" applyProtection="1">
      <alignment vertical="center" wrapText="1"/>
      <protection hidden="1"/>
    </xf>
    <xf numFmtId="164" fontId="6" fillId="3" borderId="43" xfId="3" applyNumberFormat="1" applyFont="1" applyFill="1" applyBorder="1" applyAlignment="1" applyProtection="1">
      <alignment vertical="center" wrapText="1"/>
      <protection hidden="1"/>
    </xf>
    <xf numFmtId="0" fontId="11" fillId="3" borderId="0" xfId="0" applyFont="1" applyFill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6" fontId="3" fillId="5" borderId="27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29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34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28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30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28" xfId="0" applyNumberFormat="1" applyFont="1" applyBorder="1" applyAlignment="1" applyProtection="1">
      <alignment horizontal="center" vertical="center" wrapText="1"/>
      <protection hidden="1"/>
    </xf>
    <xf numFmtId="166" fontId="3" fillId="0" borderId="30" xfId="0" applyNumberFormat="1" applyFont="1" applyBorder="1" applyAlignment="1" applyProtection="1">
      <alignment horizontal="center" vertical="center" wrapText="1"/>
      <protection hidden="1"/>
    </xf>
    <xf numFmtId="166" fontId="3" fillId="0" borderId="16" xfId="0" applyNumberFormat="1" applyFont="1" applyBorder="1" applyAlignment="1" applyProtection="1">
      <alignment horizontal="center" vertical="center" wrapText="1"/>
      <protection hidden="1"/>
    </xf>
  </cellXfs>
  <cellStyles count="5">
    <cellStyle name="Bad" xfId="2" builtinId="27"/>
    <cellStyle name="Comma" xfId="1" builtinId="3"/>
    <cellStyle name="Comma 2" xfId="3"/>
    <cellStyle name="Comma 2 2" xf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2"/>
  <sheetViews>
    <sheetView tabSelected="1" topLeftCell="B1" workbookViewId="0">
      <selection activeCell="H15" sqref="H15"/>
    </sheetView>
  </sheetViews>
  <sheetFormatPr defaultColWidth="9.140625" defaultRowHeight="15" x14ac:dyDescent="0.25"/>
  <cols>
    <col min="1" max="2" width="9.140625" style="1"/>
    <col min="3" max="3" width="30.42578125" style="1" customWidth="1"/>
    <col min="4" max="4" width="19.5703125" style="1" customWidth="1"/>
    <col min="5" max="5" width="19.28515625" style="1" customWidth="1"/>
    <col min="6" max="6" width="22.5703125" style="1" bestFit="1" customWidth="1"/>
    <col min="7" max="10" width="9.140625" style="1"/>
    <col min="11" max="12" width="15.28515625" style="1" bestFit="1" customWidth="1"/>
    <col min="13" max="16384" width="9.140625" style="1"/>
  </cols>
  <sheetData>
    <row r="3" spans="3:12" thickBot="1" x14ac:dyDescent="0.4"/>
    <row r="4" spans="3:12" ht="15.95" customHeight="1" x14ac:dyDescent="0.35">
      <c r="C4" s="65" t="s">
        <v>14</v>
      </c>
      <c r="D4" s="68" t="s">
        <v>39</v>
      </c>
      <c r="E4" s="69"/>
      <c r="F4" s="70"/>
    </row>
    <row r="5" spans="3:12" ht="15.6" customHeight="1" thickBot="1" x14ac:dyDescent="0.3">
      <c r="C5" s="66"/>
      <c r="D5" s="71" t="s">
        <v>36</v>
      </c>
      <c r="E5" s="72"/>
      <c r="F5" s="73"/>
    </row>
    <row r="6" spans="3:12" ht="15.6" customHeight="1" thickBot="1" x14ac:dyDescent="0.3">
      <c r="C6" s="67"/>
      <c r="D6" s="15" t="s">
        <v>15</v>
      </c>
      <c r="E6" s="2" t="s">
        <v>16</v>
      </c>
      <c r="F6" s="46" t="s">
        <v>17</v>
      </c>
      <c r="I6" s="62" t="s">
        <v>42</v>
      </c>
      <c r="J6" s="63"/>
      <c r="K6" s="63"/>
      <c r="L6" s="64"/>
    </row>
    <row r="7" spans="3:12" ht="24.75" customHeight="1" x14ac:dyDescent="0.35">
      <c r="C7" s="3" t="s">
        <v>0</v>
      </c>
      <c r="D7" s="4"/>
      <c r="E7" s="5">
        <f>(28678690)/923</f>
        <v>31071.170097508126</v>
      </c>
      <c r="F7" s="6">
        <f>D7-E7</f>
        <v>-31071.170097508126</v>
      </c>
      <c r="I7" s="33" t="s">
        <v>20</v>
      </c>
      <c r="J7" s="34"/>
      <c r="K7" s="34"/>
      <c r="L7" s="40">
        <v>38565504</v>
      </c>
    </row>
    <row r="8" spans="3:12" ht="14.45" x14ac:dyDescent="0.35">
      <c r="C8" s="3" t="s">
        <v>1</v>
      </c>
      <c r="D8" s="7">
        <v>14788</v>
      </c>
      <c r="E8" s="8">
        <v>0</v>
      </c>
      <c r="F8" s="6">
        <f t="shared" ref="F8:F16" si="0">D8-E8</f>
        <v>14788</v>
      </c>
      <c r="I8" s="33" t="s">
        <v>21</v>
      </c>
      <c r="J8" s="34"/>
      <c r="K8" s="35"/>
      <c r="L8" s="39">
        <v>47850777</v>
      </c>
    </row>
    <row r="9" spans="3:12" ht="14.45" x14ac:dyDescent="0.35">
      <c r="C9" s="3" t="s">
        <v>2</v>
      </c>
      <c r="D9" s="7"/>
      <c r="E9" s="8">
        <v>0</v>
      </c>
      <c r="F9" s="6">
        <f t="shared" si="0"/>
        <v>0</v>
      </c>
      <c r="I9" s="33" t="s">
        <v>23</v>
      </c>
      <c r="J9" s="34"/>
      <c r="K9" s="35"/>
      <c r="L9" s="39">
        <v>121471127</v>
      </c>
    </row>
    <row r="10" spans="3:12" ht="14.45" x14ac:dyDescent="0.35">
      <c r="C10" s="3" t="s">
        <v>3</v>
      </c>
      <c r="D10" s="7"/>
      <c r="E10" s="8">
        <v>0</v>
      </c>
      <c r="F10" s="6">
        <f t="shared" si="0"/>
        <v>0</v>
      </c>
      <c r="I10" s="36" t="s">
        <v>22</v>
      </c>
      <c r="J10" s="37"/>
      <c r="K10" s="38"/>
      <c r="L10" s="29">
        <v>112185854</v>
      </c>
    </row>
    <row r="11" spans="3:12" ht="14.45" x14ac:dyDescent="0.35">
      <c r="C11" s="3" t="s">
        <v>4</v>
      </c>
      <c r="D11" s="7">
        <v>7610</v>
      </c>
      <c r="E11" s="8">
        <f>(223200)/923</f>
        <v>241.8201516793066</v>
      </c>
      <c r="F11" s="6">
        <f t="shared" si="0"/>
        <v>7368.1798483206931</v>
      </c>
    </row>
    <row r="12" spans="3:12" ht="14.45" x14ac:dyDescent="0.35">
      <c r="C12" s="3" t="s">
        <v>5</v>
      </c>
      <c r="D12" s="7">
        <v>5626</v>
      </c>
      <c r="E12" s="8">
        <f>245000/923</f>
        <v>265.4387865655471</v>
      </c>
      <c r="F12" s="6">
        <f t="shared" si="0"/>
        <v>5360.5612134344528</v>
      </c>
      <c r="L12" s="26"/>
    </row>
    <row r="13" spans="3:12" ht="14.45" x14ac:dyDescent="0.35">
      <c r="C13" s="3" t="s">
        <v>6</v>
      </c>
      <c r="D13" s="7">
        <v>22130</v>
      </c>
      <c r="E13" s="8">
        <f>11664237/923</f>
        <v>12637.30985915493</v>
      </c>
      <c r="F13" s="6">
        <f t="shared" si="0"/>
        <v>9492.6901408450703</v>
      </c>
      <c r="K13" s="26"/>
      <c r="L13" s="26"/>
    </row>
    <row r="14" spans="3:12" ht="14.45" x14ac:dyDescent="0.35">
      <c r="C14" s="3" t="s">
        <v>7</v>
      </c>
      <c r="D14" s="7">
        <v>36373</v>
      </c>
      <c r="E14" s="8">
        <f>3907100/923</f>
        <v>4233.0444203683637</v>
      </c>
      <c r="F14" s="6">
        <f t="shared" si="0"/>
        <v>32139.955579631634</v>
      </c>
      <c r="K14" s="26"/>
      <c r="L14" s="26"/>
    </row>
    <row r="15" spans="3:12" ht="14.45" x14ac:dyDescent="0.35">
      <c r="C15" s="3" t="s">
        <v>8</v>
      </c>
      <c r="D15" s="7"/>
      <c r="E15" s="8">
        <v>0</v>
      </c>
      <c r="F15" s="6">
        <f t="shared" si="0"/>
        <v>0</v>
      </c>
      <c r="L15" s="26"/>
    </row>
    <row r="16" spans="3:12" thickBot="1" x14ac:dyDescent="0.4">
      <c r="C16" s="3" t="s">
        <v>9</v>
      </c>
      <c r="D16" s="7">
        <v>62191</v>
      </c>
      <c r="E16" s="8">
        <f>2805000/923</f>
        <v>3039.0032502708559</v>
      </c>
      <c r="F16" s="6">
        <f t="shared" si="0"/>
        <v>59151.996749729144</v>
      </c>
      <c r="K16" s="26"/>
      <c r="L16" s="26"/>
    </row>
    <row r="17" spans="3:6" thickBot="1" x14ac:dyDescent="0.4">
      <c r="C17" s="53" t="s">
        <v>10</v>
      </c>
      <c r="D17" s="54">
        <f>SUM(D7:D16)</f>
        <v>148718</v>
      </c>
      <c r="E17" s="54">
        <f>SUM(E7:E16)</f>
        <v>51487.786565547132</v>
      </c>
      <c r="F17" s="54">
        <f>D17-E17</f>
        <v>97230.21343445286</v>
      </c>
    </row>
    <row r="18" spans="3:6" thickBot="1" x14ac:dyDescent="0.4">
      <c r="C18" s="9" t="s">
        <v>11</v>
      </c>
      <c r="D18" s="7">
        <f>7436+37452</f>
        <v>44888</v>
      </c>
      <c r="E18" s="8">
        <v>0</v>
      </c>
      <c r="F18" s="6">
        <v>0</v>
      </c>
    </row>
    <row r="19" spans="3:6" thickBot="1" x14ac:dyDescent="0.4">
      <c r="C19" s="53" t="s">
        <v>12</v>
      </c>
      <c r="D19" s="54">
        <f>SUM(D17:D18)</f>
        <v>193606</v>
      </c>
      <c r="E19" s="54">
        <f>SUM(E17:E18)</f>
        <v>51487.786565547132</v>
      </c>
      <c r="F19" s="54">
        <f>D19-E19</f>
        <v>142118.21343445286</v>
      </c>
    </row>
    <row r="20" spans="3:6" thickBot="1" x14ac:dyDescent="0.4">
      <c r="C20" s="10" t="s">
        <v>13</v>
      </c>
      <c r="D20" s="11"/>
      <c r="E20" s="12"/>
      <c r="F20" s="13">
        <f>F19/D19</f>
        <v>0.7340589312028184</v>
      </c>
    </row>
    <row r="22" spans="3:6" ht="14.45" x14ac:dyDescent="0.35">
      <c r="C22" s="1" t="s">
        <v>44</v>
      </c>
    </row>
  </sheetData>
  <mergeCells count="4">
    <mergeCell ref="I6:L6"/>
    <mergeCell ref="C4:C6"/>
    <mergeCell ref="D4:F4"/>
    <mergeCell ref="D5:F5"/>
  </mergeCells>
  <conditionalFormatting sqref="F20">
    <cfRule type="cellIs" dxfId="11" priority="1" operator="lessThan">
      <formula>-0.1</formula>
    </cfRule>
    <cfRule type="cellIs" dxfId="10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4"/>
  <sheetViews>
    <sheetView topLeftCell="B5" workbookViewId="0">
      <selection activeCell="E26" sqref="E26"/>
    </sheetView>
  </sheetViews>
  <sheetFormatPr defaultColWidth="9.140625" defaultRowHeight="15" x14ac:dyDescent="0.25"/>
  <cols>
    <col min="1" max="2" width="9.140625" style="1"/>
    <col min="3" max="3" width="44.7109375" style="1" customWidth="1"/>
    <col min="4" max="4" width="15.85546875" style="1" bestFit="1" customWidth="1"/>
    <col min="5" max="5" width="22.28515625" style="1" customWidth="1"/>
    <col min="6" max="6" width="24.140625" style="1" customWidth="1"/>
    <col min="7" max="7" width="9.140625" style="1"/>
    <col min="8" max="8" width="25.28515625" style="1" customWidth="1"/>
    <col min="9" max="11" width="9.140625" style="1"/>
    <col min="12" max="12" width="15.28515625" style="1" bestFit="1" customWidth="1"/>
    <col min="13" max="13" width="9.140625" style="1"/>
    <col min="14" max="14" width="9.85546875" style="1" bestFit="1" customWidth="1"/>
    <col min="15" max="16384" width="9.140625" style="1"/>
  </cols>
  <sheetData>
    <row r="4" spans="3:12" thickBot="1" x14ac:dyDescent="0.4"/>
    <row r="5" spans="3:12" ht="15" customHeight="1" thickBot="1" x14ac:dyDescent="0.3">
      <c r="C5" s="74" t="s">
        <v>14</v>
      </c>
      <c r="D5" s="77" t="s">
        <v>38</v>
      </c>
      <c r="E5" s="78"/>
      <c r="F5" s="79"/>
    </row>
    <row r="6" spans="3:12" ht="15.75" customHeight="1" thickBot="1" x14ac:dyDescent="0.3">
      <c r="C6" s="75"/>
      <c r="D6" s="71" t="s">
        <v>36</v>
      </c>
      <c r="E6" s="72"/>
      <c r="F6" s="73"/>
      <c r="I6" s="62" t="s">
        <v>48</v>
      </c>
      <c r="J6" s="63"/>
      <c r="K6" s="63"/>
      <c r="L6" s="64"/>
    </row>
    <row r="7" spans="3:12" ht="15.75" customHeight="1" thickBot="1" x14ac:dyDescent="0.3">
      <c r="C7" s="76"/>
      <c r="D7" s="15" t="s">
        <v>15</v>
      </c>
      <c r="E7" s="2" t="s">
        <v>16</v>
      </c>
      <c r="F7" s="20" t="s">
        <v>17</v>
      </c>
      <c r="I7" s="33" t="s">
        <v>20</v>
      </c>
      <c r="J7" s="34"/>
      <c r="K7" s="34"/>
      <c r="L7" s="40">
        <v>94596259</v>
      </c>
    </row>
    <row r="8" spans="3:12" ht="14.45" x14ac:dyDescent="0.35">
      <c r="C8" s="3" t="s">
        <v>0</v>
      </c>
      <c r="D8" s="16">
        <f>6033.07+165.93</f>
        <v>6199</v>
      </c>
      <c r="E8" s="18">
        <v>7968.25</v>
      </c>
      <c r="F8" s="21">
        <f>D8-E8</f>
        <v>-1769.25</v>
      </c>
      <c r="I8" s="33" t="s">
        <v>21</v>
      </c>
      <c r="J8" s="34"/>
      <c r="K8" s="35"/>
      <c r="L8" s="39">
        <v>101035865</v>
      </c>
    </row>
    <row r="9" spans="3:12" ht="14.45" x14ac:dyDescent="0.35">
      <c r="C9" s="3" t="s">
        <v>1</v>
      </c>
      <c r="D9" s="17">
        <f>4764.31+10124.69</f>
        <v>14889</v>
      </c>
      <c r="E9" s="19">
        <v>0</v>
      </c>
      <c r="F9" s="21">
        <f t="shared" ref="F9:F18" si="0">D9-E9</f>
        <v>14889</v>
      </c>
      <c r="I9" s="33" t="s">
        <v>23</v>
      </c>
      <c r="J9" s="34"/>
      <c r="K9" s="35"/>
      <c r="L9" s="39">
        <v>117985014</v>
      </c>
    </row>
    <row r="10" spans="3:12" ht="14.45" x14ac:dyDescent="0.35">
      <c r="C10" s="3" t="s">
        <v>2</v>
      </c>
      <c r="D10" s="17">
        <f>1647.62+3501.38</f>
        <v>5149</v>
      </c>
      <c r="E10" s="19">
        <v>0</v>
      </c>
      <c r="F10" s="21">
        <f t="shared" si="0"/>
        <v>5149</v>
      </c>
      <c r="I10" s="36" t="s">
        <v>22</v>
      </c>
      <c r="J10" s="37"/>
      <c r="K10" s="38"/>
      <c r="L10" s="29">
        <v>111545408</v>
      </c>
    </row>
    <row r="11" spans="3:12" ht="14.45" x14ac:dyDescent="0.35">
      <c r="C11" s="3" t="s">
        <v>3</v>
      </c>
      <c r="D11" s="17">
        <v>0</v>
      </c>
      <c r="E11" s="19">
        <v>0</v>
      </c>
      <c r="F11" s="21">
        <f t="shared" si="0"/>
        <v>0</v>
      </c>
    </row>
    <row r="12" spans="3:12" ht="14.45" x14ac:dyDescent="0.35">
      <c r="C12" s="3" t="s">
        <v>4</v>
      </c>
      <c r="D12" s="17">
        <f>39653.54</f>
        <v>39653.54</v>
      </c>
      <c r="E12" s="19">
        <v>0</v>
      </c>
      <c r="F12" s="21">
        <f t="shared" si="0"/>
        <v>39653.54</v>
      </c>
      <c r="L12" s="26"/>
    </row>
    <row r="13" spans="3:12" ht="14.45" x14ac:dyDescent="0.35">
      <c r="C13" s="3" t="s">
        <v>5</v>
      </c>
      <c r="D13" s="17">
        <f>944.29+2006.71</f>
        <v>2951</v>
      </c>
      <c r="E13" s="19">
        <v>5112.6436781609191</v>
      </c>
      <c r="F13" s="21">
        <f t="shared" si="0"/>
        <v>-2161.6436781609191</v>
      </c>
      <c r="L13" s="26"/>
    </row>
    <row r="14" spans="3:12" ht="14.45" x14ac:dyDescent="0.35">
      <c r="C14" s="3" t="s">
        <v>6</v>
      </c>
      <c r="D14" s="17">
        <f>2581.35+5485.65</f>
        <v>8067</v>
      </c>
      <c r="E14" s="19">
        <v>1335.8275862068965</v>
      </c>
      <c r="F14" s="21">
        <f t="shared" si="0"/>
        <v>6731.1724137931033</v>
      </c>
      <c r="I14" s="26"/>
      <c r="L14" s="26"/>
    </row>
    <row r="15" spans="3:12" ht="14.45" x14ac:dyDescent="0.35">
      <c r="C15" s="3" t="s">
        <v>7</v>
      </c>
      <c r="D15" s="17">
        <f>8929.29+18975.71</f>
        <v>27905</v>
      </c>
      <c r="E15" s="19">
        <v>30059.172413793101</v>
      </c>
      <c r="F15" s="21">
        <f t="shared" si="0"/>
        <v>-2154.1724137931014</v>
      </c>
      <c r="L15" s="26"/>
    </row>
    <row r="16" spans="3:12" ht="14.45" x14ac:dyDescent="0.35">
      <c r="C16" s="3" t="s">
        <v>8</v>
      </c>
      <c r="D16" s="17">
        <v>0</v>
      </c>
      <c r="E16" s="19">
        <v>0</v>
      </c>
      <c r="F16" s="21">
        <f t="shared" si="0"/>
        <v>0</v>
      </c>
    </row>
    <row r="17" spans="3:6" ht="14.45" x14ac:dyDescent="0.35">
      <c r="C17" s="3" t="s">
        <v>9</v>
      </c>
      <c r="D17" s="17">
        <f>19349.08+41118.92</f>
        <v>60468</v>
      </c>
      <c r="E17" s="19">
        <v>0</v>
      </c>
      <c r="F17" s="21">
        <f t="shared" si="0"/>
        <v>60468</v>
      </c>
    </row>
    <row r="18" spans="3:6" thickBot="1" x14ac:dyDescent="0.4">
      <c r="C18" s="3" t="s">
        <v>45</v>
      </c>
      <c r="D18" s="17">
        <v>0</v>
      </c>
      <c r="E18" s="19">
        <v>71659.356321839077</v>
      </c>
      <c r="F18" s="21">
        <f t="shared" si="0"/>
        <v>-71659.356321839077</v>
      </c>
    </row>
    <row r="19" spans="3:6" thickBot="1" x14ac:dyDescent="0.4">
      <c r="C19" s="53" t="s">
        <v>10</v>
      </c>
      <c r="D19" s="55">
        <f>SUM(D8:D18)</f>
        <v>165281.54</v>
      </c>
      <c r="E19" s="55">
        <f>SUM(E8:E18)</f>
        <v>116135.25</v>
      </c>
      <c r="F19" s="55">
        <f>D19-E19</f>
        <v>49146.290000000008</v>
      </c>
    </row>
    <row r="20" spans="3:6" thickBot="1" x14ac:dyDescent="0.4">
      <c r="C20" s="9" t="s">
        <v>19</v>
      </c>
      <c r="D20" s="17">
        <f>12655</f>
        <v>12655</v>
      </c>
      <c r="E20" s="19">
        <v>0</v>
      </c>
      <c r="F20" s="21">
        <v>0</v>
      </c>
    </row>
    <row r="21" spans="3:6" thickBot="1" x14ac:dyDescent="0.4">
      <c r="C21" s="53" t="s">
        <v>12</v>
      </c>
      <c r="D21" s="55">
        <f>SUM(D19:D20)</f>
        <v>177936.54</v>
      </c>
      <c r="E21" s="55">
        <f>SUM(E19:E20)</f>
        <v>116135.25</v>
      </c>
      <c r="F21" s="55">
        <f>D21-E21</f>
        <v>61801.290000000008</v>
      </c>
    </row>
    <row r="22" spans="3:6" thickBot="1" x14ac:dyDescent="0.4">
      <c r="C22" s="10" t="s">
        <v>13</v>
      </c>
      <c r="D22" s="11"/>
      <c r="E22" s="12"/>
      <c r="F22" s="13">
        <f>F21/D21</f>
        <v>0.3473220846038706</v>
      </c>
    </row>
    <row r="24" spans="3:6" ht="14.45" x14ac:dyDescent="0.35">
      <c r="C24" s="1" t="s">
        <v>33</v>
      </c>
    </row>
  </sheetData>
  <mergeCells count="4">
    <mergeCell ref="I6:L6"/>
    <mergeCell ref="C5:C7"/>
    <mergeCell ref="D5:F5"/>
    <mergeCell ref="D6:F6"/>
  </mergeCells>
  <conditionalFormatting sqref="F22">
    <cfRule type="cellIs" dxfId="9" priority="1" operator="lessThan">
      <formula>-0.1</formula>
    </cfRule>
    <cfRule type="cellIs" dxfId="8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2"/>
  <sheetViews>
    <sheetView workbookViewId="0">
      <selection activeCell="E24" sqref="E24"/>
    </sheetView>
  </sheetViews>
  <sheetFormatPr defaultColWidth="9.140625" defaultRowHeight="15" x14ac:dyDescent="0.25"/>
  <cols>
    <col min="1" max="2" width="9.140625" style="1"/>
    <col min="3" max="3" width="36.140625" style="1" customWidth="1"/>
    <col min="4" max="4" width="17.5703125" style="1" customWidth="1"/>
    <col min="5" max="5" width="19.140625" style="1" customWidth="1"/>
    <col min="6" max="6" width="22" style="1" bestFit="1" customWidth="1"/>
    <col min="7" max="7" width="9.140625" style="1"/>
    <col min="8" max="8" width="11.140625" style="1" bestFit="1" customWidth="1"/>
    <col min="9" max="10" width="9.140625" style="1"/>
    <col min="11" max="11" width="12.5703125" style="1" customWidth="1"/>
    <col min="12" max="12" width="18.5703125" style="1" customWidth="1"/>
    <col min="13" max="13" width="11.140625" style="1" bestFit="1" customWidth="1"/>
    <col min="14" max="16384" width="9.140625" style="1"/>
  </cols>
  <sheetData>
    <row r="3" spans="3:13" thickBot="1" x14ac:dyDescent="0.4"/>
    <row r="4" spans="3:13" ht="15.75" customHeight="1" thickBot="1" x14ac:dyDescent="0.3">
      <c r="C4" s="80" t="s">
        <v>32</v>
      </c>
      <c r="D4" s="77" t="s">
        <v>37</v>
      </c>
      <c r="E4" s="78"/>
      <c r="F4" s="79"/>
    </row>
    <row r="5" spans="3:13" ht="15.95" customHeight="1" thickBot="1" x14ac:dyDescent="0.3">
      <c r="C5" s="81"/>
      <c r="D5" s="71" t="s">
        <v>36</v>
      </c>
      <c r="E5" s="72"/>
      <c r="F5" s="73"/>
      <c r="I5" s="62" t="s">
        <v>43</v>
      </c>
      <c r="J5" s="63"/>
      <c r="K5" s="63"/>
      <c r="L5" s="64"/>
    </row>
    <row r="6" spans="3:13" ht="18.95" customHeight="1" thickBot="1" x14ac:dyDescent="0.3">
      <c r="C6" s="82"/>
      <c r="D6" s="27" t="s">
        <v>15</v>
      </c>
      <c r="E6" s="28" t="s">
        <v>16</v>
      </c>
      <c r="F6" s="51" t="s">
        <v>17</v>
      </c>
      <c r="I6" s="33" t="s">
        <v>20</v>
      </c>
      <c r="J6" s="34"/>
      <c r="K6" s="34"/>
      <c r="L6" s="40">
        <f>166814.91</f>
        <v>166814.91</v>
      </c>
    </row>
    <row r="7" spans="3:13" ht="19.5" customHeight="1" x14ac:dyDescent="0.35">
      <c r="C7" s="3" t="s">
        <v>0</v>
      </c>
      <c r="D7" s="16">
        <v>40978.473333333328</v>
      </c>
      <c r="E7" s="18">
        <v>33421.199999999997</v>
      </c>
      <c r="F7" s="29">
        <v>7561.3000000000029</v>
      </c>
      <c r="I7" s="33" t="s">
        <v>21</v>
      </c>
      <c r="J7" s="34"/>
      <c r="K7" s="35"/>
      <c r="L7" s="39">
        <v>426320.19</v>
      </c>
      <c r="M7" s="26"/>
    </row>
    <row r="8" spans="3:13" ht="14.45" x14ac:dyDescent="0.35">
      <c r="C8" s="3" t="s">
        <v>1</v>
      </c>
      <c r="D8" s="17">
        <v>0</v>
      </c>
      <c r="E8" s="19">
        <v>0</v>
      </c>
      <c r="F8" s="29">
        <v>0</v>
      </c>
      <c r="I8" s="33" t="s">
        <v>23</v>
      </c>
      <c r="J8" s="34"/>
      <c r="K8" s="35"/>
      <c r="L8" s="39">
        <v>316277.21999999997</v>
      </c>
    </row>
    <row r="9" spans="3:13" ht="14.45" x14ac:dyDescent="0.35">
      <c r="C9" s="3" t="s">
        <v>2</v>
      </c>
      <c r="D9" s="17">
        <v>18775.579999999998</v>
      </c>
      <c r="E9" s="19">
        <v>10878</v>
      </c>
      <c r="F9" s="29">
        <v>7897.5799999999981</v>
      </c>
      <c r="G9" s="52"/>
      <c r="I9" s="36" t="s">
        <v>22</v>
      </c>
      <c r="J9" s="37"/>
      <c r="K9" s="38"/>
      <c r="L9" s="29">
        <v>56771.94</v>
      </c>
    </row>
    <row r="10" spans="3:13" ht="14.45" x14ac:dyDescent="0.35">
      <c r="C10" s="3" t="s">
        <v>3</v>
      </c>
      <c r="D10" s="17">
        <v>0</v>
      </c>
      <c r="E10" s="19">
        <v>0</v>
      </c>
      <c r="F10" s="29">
        <v>0</v>
      </c>
      <c r="L10" s="26"/>
    </row>
    <row r="11" spans="3:13" ht="16.5" customHeight="1" x14ac:dyDescent="0.35">
      <c r="C11" s="3" t="s">
        <v>4</v>
      </c>
      <c r="D11" s="17">
        <v>61840</v>
      </c>
      <c r="E11" s="19">
        <v>10230.306666666667</v>
      </c>
      <c r="F11" s="29">
        <v>51609.693333333329</v>
      </c>
      <c r="L11" s="26"/>
    </row>
    <row r="12" spans="3:13" x14ac:dyDescent="0.25">
      <c r="C12" s="3" t="s">
        <v>5</v>
      </c>
      <c r="D12" s="83">
        <v>215537.89999999997</v>
      </c>
      <c r="E12" s="86">
        <v>217283.6</v>
      </c>
      <c r="F12" s="89">
        <v>-1745.7000000000407</v>
      </c>
      <c r="L12" s="26"/>
    </row>
    <row r="13" spans="3:13" x14ac:dyDescent="0.25">
      <c r="C13" s="3" t="s">
        <v>6</v>
      </c>
      <c r="D13" s="84"/>
      <c r="E13" s="87"/>
      <c r="F13" s="90"/>
    </row>
    <row r="14" spans="3:13" x14ac:dyDescent="0.25">
      <c r="C14" s="3" t="s">
        <v>7</v>
      </c>
      <c r="D14" s="84"/>
      <c r="E14" s="87"/>
      <c r="F14" s="90"/>
      <c r="K14" s="26"/>
      <c r="L14" s="26"/>
    </row>
    <row r="15" spans="3:13" x14ac:dyDescent="0.25">
      <c r="C15" s="3" t="s">
        <v>8</v>
      </c>
      <c r="D15" s="84"/>
      <c r="E15" s="87"/>
      <c r="F15" s="90"/>
      <c r="H15" s="26"/>
    </row>
    <row r="16" spans="3:13" ht="15.75" thickBot="1" x14ac:dyDescent="0.3">
      <c r="C16" s="3" t="s">
        <v>9</v>
      </c>
      <c r="D16" s="85"/>
      <c r="E16" s="88"/>
      <c r="F16" s="91"/>
      <c r="H16" s="26"/>
    </row>
    <row r="17" spans="3:8" thickBot="1" x14ac:dyDescent="0.4">
      <c r="C17" s="53" t="s">
        <v>10</v>
      </c>
      <c r="D17" s="55">
        <f>SUM(D6:D16)</f>
        <v>337131.95333333331</v>
      </c>
      <c r="E17" s="55">
        <f>SUM(E7:E16)</f>
        <v>271813.10666666669</v>
      </c>
      <c r="F17" s="55">
        <f>D17-E17</f>
        <v>65318.846666666621</v>
      </c>
      <c r="H17" s="26"/>
    </row>
    <row r="18" spans="3:8" thickBot="1" x14ac:dyDescent="0.4">
      <c r="C18" s="3" t="s">
        <v>19</v>
      </c>
      <c r="D18" s="30">
        <v>31205.253333333301</v>
      </c>
      <c r="E18" s="31">
        <v>12400.3533333333</v>
      </c>
      <c r="F18" s="32">
        <v>18804.899999999998</v>
      </c>
    </row>
    <row r="19" spans="3:8" thickBot="1" x14ac:dyDescent="0.4">
      <c r="C19" s="58" t="s">
        <v>18</v>
      </c>
      <c r="D19" s="57">
        <f>SUM(D17:D18)</f>
        <v>368337.20666666661</v>
      </c>
      <c r="E19" s="56">
        <f>SUM(E17:E18)</f>
        <v>284213.45999999996</v>
      </c>
      <c r="F19" s="56">
        <f>D19-E19</f>
        <v>84123.746666666644</v>
      </c>
    </row>
    <row r="20" spans="3:8" thickBot="1" x14ac:dyDescent="0.4">
      <c r="C20" s="10" t="s">
        <v>13</v>
      </c>
      <c r="D20" s="23"/>
      <c r="E20" s="24"/>
      <c r="F20" s="25">
        <f>F19/D19</f>
        <v>0.22838786075389866</v>
      </c>
    </row>
    <row r="21" spans="3:8" ht="14.45" x14ac:dyDescent="0.35">
      <c r="E21" s="26"/>
    </row>
    <row r="22" spans="3:8" ht="14.45" x14ac:dyDescent="0.35">
      <c r="C22" s="1" t="s">
        <v>34</v>
      </c>
    </row>
  </sheetData>
  <mergeCells count="7">
    <mergeCell ref="I5:L5"/>
    <mergeCell ref="C4:C6"/>
    <mergeCell ref="D12:D16"/>
    <mergeCell ref="E12:E16"/>
    <mergeCell ref="F12:F16"/>
    <mergeCell ref="D4:F4"/>
    <mergeCell ref="D5:F5"/>
  </mergeCells>
  <conditionalFormatting sqref="F20">
    <cfRule type="cellIs" dxfId="7" priority="1" operator="lessThan">
      <formula>-0.1</formula>
    </cfRule>
    <cfRule type="cellIs" dxfId="6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30"/>
  <sheetViews>
    <sheetView topLeftCell="D6" workbookViewId="0">
      <selection activeCell="F15" sqref="F15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5.570312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65" t="s">
        <v>14</v>
      </c>
      <c r="E8" s="77" t="s">
        <v>35</v>
      </c>
      <c r="F8" s="78"/>
      <c r="G8" s="79"/>
    </row>
    <row r="9" spans="4:14" ht="15.75" customHeight="1" thickBot="1" x14ac:dyDescent="0.3">
      <c r="D9" s="66"/>
      <c r="E9" s="71" t="s">
        <v>36</v>
      </c>
      <c r="F9" s="72"/>
      <c r="G9" s="73"/>
    </row>
    <row r="10" spans="4:14" ht="24" customHeight="1" thickBot="1" x14ac:dyDescent="0.3">
      <c r="D10" s="67"/>
      <c r="E10" s="27" t="s">
        <v>15</v>
      </c>
      <c r="F10" s="28" t="s">
        <v>16</v>
      </c>
      <c r="G10" s="51" t="s">
        <v>17</v>
      </c>
    </row>
    <row r="11" spans="4:14" ht="15.95" thickBot="1" x14ac:dyDescent="0.4">
      <c r="D11" s="3" t="s">
        <v>0</v>
      </c>
      <c r="E11" s="4">
        <v>54115.00005797101</v>
      </c>
      <c r="F11" s="22">
        <v>66953.479970149245</v>
      </c>
      <c r="G11" s="6">
        <f>E11-F11</f>
        <v>-12838.479912178234</v>
      </c>
      <c r="J11" s="62" t="s">
        <v>47</v>
      </c>
      <c r="K11" s="63"/>
      <c r="L11" s="63"/>
      <c r="M11" s="64"/>
    </row>
    <row r="12" spans="4:14" ht="14.45" x14ac:dyDescent="0.35">
      <c r="D12" s="3" t="s">
        <v>1</v>
      </c>
      <c r="E12" s="7">
        <v>7292</v>
      </c>
      <c r="F12" s="8">
        <v>1368.8368656716416</v>
      </c>
      <c r="G12" s="6">
        <f t="shared" ref="G12:G22" si="0">E12-F12</f>
        <v>5923.1631343283589</v>
      </c>
      <c r="J12" s="33" t="s">
        <v>20</v>
      </c>
      <c r="K12" s="34"/>
      <c r="L12" s="34"/>
      <c r="M12" s="48">
        <v>211610648.08000001</v>
      </c>
    </row>
    <row r="13" spans="4:14" ht="14.45" x14ac:dyDescent="0.35">
      <c r="D13" s="3" t="s">
        <v>24</v>
      </c>
      <c r="E13" s="7">
        <v>59517</v>
      </c>
      <c r="F13" s="8">
        <v>32968.682599755972</v>
      </c>
      <c r="G13" s="6">
        <f t="shared" si="0"/>
        <v>26548.317400244028</v>
      </c>
      <c r="J13" s="33" t="s">
        <v>21</v>
      </c>
      <c r="K13" s="34"/>
      <c r="L13" s="35"/>
      <c r="M13" s="49">
        <f>357962341.8</f>
        <v>357962341.80000001</v>
      </c>
    </row>
    <row r="14" spans="4:14" ht="14.45" x14ac:dyDescent="0.35">
      <c r="D14" s="3" t="s">
        <v>3</v>
      </c>
      <c r="E14" s="7">
        <v>2495</v>
      </c>
      <c r="F14" s="8">
        <v>3456.915970149254</v>
      </c>
      <c r="G14" s="6">
        <f t="shared" si="0"/>
        <v>-961.91597014925401</v>
      </c>
      <c r="J14" s="33" t="s">
        <v>23</v>
      </c>
      <c r="K14" s="34"/>
      <c r="L14" s="35"/>
      <c r="M14" s="49">
        <v>601823611</v>
      </c>
      <c r="N14" s="47"/>
    </row>
    <row r="15" spans="4:14" ht="14.45" x14ac:dyDescent="0.35">
      <c r="D15" s="3" t="s">
        <v>25</v>
      </c>
      <c r="E15" s="7">
        <v>40273</v>
      </c>
      <c r="F15" s="8">
        <v>39804.930313432837</v>
      </c>
      <c r="G15" s="6">
        <f t="shared" si="0"/>
        <v>468.06968656716344</v>
      </c>
      <c r="J15" s="36" t="s">
        <v>22</v>
      </c>
      <c r="K15" s="37"/>
      <c r="L15" s="38"/>
      <c r="M15" s="50">
        <v>455471917.38</v>
      </c>
      <c r="N15" s="26"/>
    </row>
    <row r="16" spans="4:14" ht="14.45" x14ac:dyDescent="0.35">
      <c r="D16" s="3" t="s">
        <v>5</v>
      </c>
      <c r="E16" s="7">
        <v>14643</v>
      </c>
      <c r="F16" s="8">
        <v>54990.005522388063</v>
      </c>
      <c r="G16" s="6">
        <f t="shared" si="0"/>
        <v>-40347.005522388063</v>
      </c>
      <c r="M16" s="26"/>
    </row>
    <row r="17" spans="4:13" ht="14.45" x14ac:dyDescent="0.35">
      <c r="D17" s="3" t="s">
        <v>26</v>
      </c>
      <c r="E17" s="7">
        <v>51728</v>
      </c>
      <c r="F17" s="8">
        <v>22289.913731343288</v>
      </c>
      <c r="G17" s="6">
        <f t="shared" si="0"/>
        <v>29438.086268656712</v>
      </c>
      <c r="M17" s="26"/>
    </row>
    <row r="18" spans="4:13" ht="14.45" x14ac:dyDescent="0.35">
      <c r="D18" s="3" t="s">
        <v>27</v>
      </c>
      <c r="E18" s="7">
        <v>70936</v>
      </c>
      <c r="F18" s="8">
        <v>5863.3811940298501</v>
      </c>
      <c r="G18" s="6">
        <f t="shared" si="0"/>
        <v>65072.618805970153</v>
      </c>
      <c r="M18" s="26"/>
    </row>
    <row r="19" spans="4:13" ht="14.45" x14ac:dyDescent="0.35">
      <c r="D19" s="3" t="s">
        <v>28</v>
      </c>
      <c r="E19" s="7">
        <v>0</v>
      </c>
      <c r="F19" s="8">
        <v>1069.4831343283581</v>
      </c>
      <c r="G19" s="6">
        <f t="shared" si="0"/>
        <v>-1069.4831343283581</v>
      </c>
      <c r="M19" s="26"/>
    </row>
    <row r="20" spans="4:13" ht="14.45" x14ac:dyDescent="0.35">
      <c r="D20" s="3" t="s">
        <v>29</v>
      </c>
      <c r="E20" s="7">
        <v>290231</v>
      </c>
      <c r="F20" s="8">
        <v>269405.49998507457</v>
      </c>
      <c r="G20" s="6">
        <f t="shared" si="0"/>
        <v>20825.500014925434</v>
      </c>
      <c r="M20" s="26"/>
    </row>
    <row r="21" spans="4:13" ht="14.45" x14ac:dyDescent="0.35">
      <c r="D21" s="3" t="s">
        <v>30</v>
      </c>
      <c r="E21" s="7">
        <v>0</v>
      </c>
      <c r="F21" s="8">
        <v>23457.026402985073</v>
      </c>
      <c r="G21" s="6">
        <f t="shared" si="0"/>
        <v>-23457.026402985073</v>
      </c>
    </row>
    <row r="22" spans="4:13" thickBot="1" x14ac:dyDescent="0.4">
      <c r="D22" s="3" t="s">
        <v>31</v>
      </c>
      <c r="E22" s="7"/>
      <c r="F22" s="8">
        <v>7047.0167164179102</v>
      </c>
      <c r="G22" s="6">
        <f t="shared" si="0"/>
        <v>-7047.0167164179102</v>
      </c>
    </row>
    <row r="23" spans="4:13" thickBot="1" x14ac:dyDescent="0.4">
      <c r="D23" s="53" t="s">
        <v>10</v>
      </c>
      <c r="E23" s="54">
        <v>591229.00005797099</v>
      </c>
      <c r="F23" s="54">
        <f>SUM(F11:F22)</f>
        <v>528675.17240572604</v>
      </c>
      <c r="G23" s="54">
        <f>E23-F23</f>
        <v>62553.827652244945</v>
      </c>
    </row>
    <row r="24" spans="4:13" thickBot="1" x14ac:dyDescent="0.4">
      <c r="D24" s="9" t="s">
        <v>19</v>
      </c>
      <c r="E24" s="7">
        <v>0</v>
      </c>
      <c r="F24" s="41">
        <v>5597.0149253731342</v>
      </c>
      <c r="G24" s="6">
        <v>-5597.0149253731342</v>
      </c>
    </row>
    <row r="25" spans="4:13" thickBot="1" x14ac:dyDescent="0.4">
      <c r="D25" s="42" t="s">
        <v>41</v>
      </c>
      <c r="E25" s="14"/>
      <c r="F25" s="43">
        <v>-55978</v>
      </c>
      <c r="G25" s="44"/>
    </row>
    <row r="26" spans="4:13" thickBot="1" x14ac:dyDescent="0.4">
      <c r="D26" s="53" t="s">
        <v>12</v>
      </c>
      <c r="E26" s="54">
        <f>SUM(E23:E24)</f>
        <v>591229.00005797099</v>
      </c>
      <c r="F26" s="54">
        <f>SUM(F23:F25)</f>
        <v>478294.18733109918</v>
      </c>
      <c r="G26" s="54">
        <f>E26-F26</f>
        <v>112934.81272687181</v>
      </c>
    </row>
    <row r="27" spans="4:13" thickBot="1" x14ac:dyDescent="0.4">
      <c r="D27" s="10" t="s">
        <v>13</v>
      </c>
      <c r="E27" s="11"/>
      <c r="F27" s="12"/>
      <c r="G27" s="45">
        <f>G26/E26</f>
        <v>0.19101703860229854</v>
      </c>
    </row>
    <row r="29" spans="4:13" ht="14.45" x14ac:dyDescent="0.35">
      <c r="D29" s="1" t="s">
        <v>40</v>
      </c>
    </row>
    <row r="30" spans="4:13" ht="14.45" x14ac:dyDescent="0.35">
      <c r="D30" s="1" t="s">
        <v>46</v>
      </c>
    </row>
  </sheetData>
  <mergeCells count="4">
    <mergeCell ref="D8:D10"/>
    <mergeCell ref="J11:M11"/>
    <mergeCell ref="E8:G8"/>
    <mergeCell ref="E9:G9"/>
  </mergeCells>
  <conditionalFormatting sqref="G27">
    <cfRule type="cellIs" dxfId="5" priority="1" operator="lessThan">
      <formula>-0.1</formula>
    </cfRule>
    <cfRule type="cellIs" dxfId="4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8"/>
  <sheetViews>
    <sheetView topLeftCell="D6" workbookViewId="0">
      <selection activeCell="N12" sqref="N12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6.8554687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65" t="s">
        <v>14</v>
      </c>
      <c r="E8" s="77" t="s">
        <v>49</v>
      </c>
      <c r="F8" s="78"/>
      <c r="G8" s="79"/>
    </row>
    <row r="9" spans="4:14" ht="15.75" customHeight="1" thickBot="1" x14ac:dyDescent="0.3">
      <c r="D9" s="66"/>
      <c r="E9" s="71" t="s">
        <v>36</v>
      </c>
      <c r="F9" s="72"/>
      <c r="G9" s="73"/>
    </row>
    <row r="10" spans="4:14" ht="24" customHeight="1" thickBot="1" x14ac:dyDescent="0.3">
      <c r="D10" s="67"/>
      <c r="E10" s="27" t="s">
        <v>50</v>
      </c>
      <c r="F10" s="28" t="s">
        <v>16</v>
      </c>
      <c r="G10" s="51" t="s">
        <v>17</v>
      </c>
    </row>
    <row r="11" spans="4:14" ht="16.5" thickBot="1" x14ac:dyDescent="0.3">
      <c r="D11" s="3" t="s">
        <v>0</v>
      </c>
      <c r="E11" s="4">
        <v>27996</v>
      </c>
      <c r="F11" s="22">
        <v>43398.300821018063</v>
      </c>
      <c r="G11" s="6">
        <v>-15402.300821018063</v>
      </c>
      <c r="J11" s="62" t="s">
        <v>51</v>
      </c>
      <c r="K11" s="63"/>
      <c r="L11" s="63"/>
      <c r="M11" s="64"/>
      <c r="N11" s="61" t="s">
        <v>56</v>
      </c>
    </row>
    <row r="12" spans="4:14" x14ac:dyDescent="0.25">
      <c r="D12" s="3" t="s">
        <v>1</v>
      </c>
      <c r="E12" s="7">
        <v>81975</v>
      </c>
      <c r="F12" s="8">
        <v>10168.47290640394</v>
      </c>
      <c r="G12" s="6">
        <v>71806.527093596058</v>
      </c>
      <c r="J12" s="33" t="s">
        <v>20</v>
      </c>
      <c r="K12" s="34"/>
      <c r="L12" s="34"/>
      <c r="M12" s="48">
        <v>395844965.73000002</v>
      </c>
      <c r="N12" s="47">
        <v>718779.54871264368</v>
      </c>
    </row>
    <row r="13" spans="4:14" x14ac:dyDescent="0.25">
      <c r="D13" s="3" t="s">
        <v>24</v>
      </c>
      <c r="E13" s="7">
        <v>55449</v>
      </c>
      <c r="F13" s="8">
        <v>1640</v>
      </c>
      <c r="G13" s="6">
        <v>53809</v>
      </c>
      <c r="J13" s="33" t="s">
        <v>21</v>
      </c>
      <c r="K13" s="34"/>
      <c r="L13" s="35"/>
      <c r="M13" s="49">
        <v>817404134.75</v>
      </c>
      <c r="N13" s="47">
        <v>268441.42356321838</v>
      </c>
    </row>
    <row r="14" spans="4:14" x14ac:dyDescent="0.25">
      <c r="D14" s="3" t="s">
        <v>3</v>
      </c>
      <c r="E14" s="7">
        <v>0</v>
      </c>
      <c r="F14" s="8">
        <v>36761.546141215105</v>
      </c>
      <c r="G14" s="6">
        <v>-36761.546141215105</v>
      </c>
      <c r="J14" s="33" t="s">
        <v>23</v>
      </c>
      <c r="K14" s="34"/>
      <c r="L14" s="35"/>
      <c r="M14" s="49">
        <v>2320921074</v>
      </c>
      <c r="N14" s="47">
        <v>762207.24926108378</v>
      </c>
    </row>
    <row r="15" spans="4:14" x14ac:dyDescent="0.25">
      <c r="D15" s="3" t="s">
        <v>25</v>
      </c>
      <c r="E15" s="7">
        <v>36061</v>
      </c>
      <c r="F15" s="8">
        <v>11500.525451559934</v>
      </c>
      <c r="G15" s="6">
        <v>24560.474548440066</v>
      </c>
      <c r="J15" s="36" t="s">
        <v>22</v>
      </c>
      <c r="K15" s="37"/>
      <c r="L15" s="38"/>
      <c r="M15" s="50">
        <v>1899361904.98</v>
      </c>
      <c r="N15" s="47">
        <v>623764.17240722501</v>
      </c>
    </row>
    <row r="16" spans="4:14" ht="14.45" x14ac:dyDescent="0.35">
      <c r="D16" s="3" t="s">
        <v>5</v>
      </c>
      <c r="E16" s="7">
        <v>5001</v>
      </c>
      <c r="F16" s="8">
        <v>30.435763546798029</v>
      </c>
      <c r="G16" s="6">
        <v>4970.5642364532023</v>
      </c>
      <c r="M16" s="26"/>
    </row>
    <row r="17" spans="4:13" ht="14.45" x14ac:dyDescent="0.35">
      <c r="D17" s="3" t="s">
        <v>26</v>
      </c>
      <c r="E17" s="7">
        <v>40186</v>
      </c>
      <c r="F17" s="8">
        <v>3490.1806239737275</v>
      </c>
      <c r="G17" s="6">
        <v>36695.819376026273</v>
      </c>
      <c r="M17" s="26"/>
    </row>
    <row r="18" spans="4:13" ht="14.45" x14ac:dyDescent="0.35">
      <c r="D18" s="3" t="s">
        <v>27</v>
      </c>
      <c r="E18" s="7">
        <v>264705</v>
      </c>
      <c r="F18" s="8">
        <v>123298.00586206897</v>
      </c>
      <c r="G18" s="6">
        <v>141406.99413793103</v>
      </c>
      <c r="M18" s="26"/>
    </row>
    <row r="19" spans="4:13" ht="14.45" x14ac:dyDescent="0.35">
      <c r="D19" s="3" t="s">
        <v>28</v>
      </c>
      <c r="E19" s="7">
        <v>17242</v>
      </c>
      <c r="F19" s="8">
        <v>12423.578325123153</v>
      </c>
      <c r="G19" s="6">
        <v>4818.4216748768467</v>
      </c>
      <c r="M19" s="26"/>
    </row>
    <row r="20" spans="4:13" ht="14.45" x14ac:dyDescent="0.35">
      <c r="D20" s="3" t="s">
        <v>29</v>
      </c>
      <c r="E20" s="7">
        <v>223100</v>
      </c>
      <c r="F20" s="8">
        <v>18063.711001642037</v>
      </c>
      <c r="G20" s="6">
        <v>205036.28899835795</v>
      </c>
      <c r="M20" s="26"/>
    </row>
    <row r="21" spans="4:13" ht="14.45" x14ac:dyDescent="0.35">
      <c r="D21" s="3" t="s">
        <v>30</v>
      </c>
      <c r="E21" s="7">
        <v>0</v>
      </c>
      <c r="F21" s="8">
        <v>5198.6863711001643</v>
      </c>
      <c r="G21" s="6">
        <v>-5198.6863711001643</v>
      </c>
    </row>
    <row r="22" spans="4:13" thickBot="1" x14ac:dyDescent="0.4">
      <c r="D22" s="3" t="s">
        <v>31</v>
      </c>
      <c r="E22" s="7"/>
      <c r="F22" s="8"/>
      <c r="G22" s="6"/>
    </row>
    <row r="23" spans="4:13" thickBot="1" x14ac:dyDescent="0.4">
      <c r="D23" s="53" t="s">
        <v>10</v>
      </c>
      <c r="E23" s="54">
        <f>SUM(E11:E22)</f>
        <v>751715</v>
      </c>
      <c r="F23" s="54">
        <f t="shared" ref="F23:G23" si="0">SUM(F11:F22)</f>
        <v>265973.44326765189</v>
      </c>
      <c r="G23" s="54">
        <f t="shared" si="0"/>
        <v>485741.55673234805</v>
      </c>
    </row>
    <row r="24" spans="4:13" thickBot="1" x14ac:dyDescent="0.4">
      <c r="D24" s="9" t="s">
        <v>19</v>
      </c>
      <c r="E24" s="7">
        <v>0</v>
      </c>
      <c r="F24" s="41"/>
      <c r="G24" s="6"/>
    </row>
    <row r="25" spans="4:13" thickBot="1" x14ac:dyDescent="0.4">
      <c r="D25" s="53" t="s">
        <v>12</v>
      </c>
      <c r="E25" s="54">
        <f>SUM(E23:E24)</f>
        <v>751715</v>
      </c>
      <c r="F25" s="54">
        <f>SUM(F23:F24)</f>
        <v>265973.44326765189</v>
      </c>
      <c r="G25" s="54">
        <f>E25-F25</f>
        <v>485741.55673234811</v>
      </c>
    </row>
    <row r="26" spans="4:13" thickBot="1" x14ac:dyDescent="0.4">
      <c r="D26" s="10" t="s">
        <v>13</v>
      </c>
      <c r="E26" s="11"/>
      <c r="F26" s="12"/>
      <c r="G26" s="45">
        <f>G25/E25</f>
        <v>0.64617781570455302</v>
      </c>
    </row>
    <row r="28" spans="4:13" ht="14.45" x14ac:dyDescent="0.35">
      <c r="D28" s="1" t="s">
        <v>52</v>
      </c>
    </row>
  </sheetData>
  <mergeCells count="4">
    <mergeCell ref="D8:D10"/>
    <mergeCell ref="E8:G8"/>
    <mergeCell ref="E9:G9"/>
    <mergeCell ref="J11:M11"/>
  </mergeCells>
  <conditionalFormatting sqref="G26">
    <cfRule type="cellIs" dxfId="3" priority="1" operator="lessThan">
      <formula>-0.1</formula>
    </cfRule>
    <cfRule type="cellIs" dxfId="2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33"/>
  <sheetViews>
    <sheetView topLeftCell="A7" workbookViewId="0">
      <selection activeCell="D36" sqref="D36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5.570312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65" t="s">
        <v>14</v>
      </c>
      <c r="E8" s="77" t="s">
        <v>54</v>
      </c>
      <c r="F8" s="78"/>
      <c r="G8" s="79"/>
    </row>
    <row r="9" spans="4:14" ht="15.75" customHeight="1" thickBot="1" x14ac:dyDescent="0.3">
      <c r="D9" s="66"/>
      <c r="E9" s="71" t="s">
        <v>36</v>
      </c>
      <c r="F9" s="72"/>
      <c r="G9" s="73"/>
    </row>
    <row r="10" spans="4:14" ht="24" customHeight="1" thickBot="1" x14ac:dyDescent="0.3">
      <c r="D10" s="67"/>
      <c r="E10" s="27" t="s">
        <v>15</v>
      </c>
      <c r="F10" s="28" t="s">
        <v>16</v>
      </c>
      <c r="G10" s="51" t="s">
        <v>17</v>
      </c>
    </row>
    <row r="11" spans="4:14" ht="15.95" thickBot="1" x14ac:dyDescent="0.4">
      <c r="D11" s="3" t="s">
        <v>0</v>
      </c>
      <c r="E11" s="4">
        <v>24672</v>
      </c>
      <c r="F11" s="22">
        <v>60607.241428571426</v>
      </c>
      <c r="G11" s="6">
        <v>-35935.241428571426</v>
      </c>
      <c r="J11" s="62" t="s">
        <v>55</v>
      </c>
      <c r="K11" s="63"/>
      <c r="L11" s="63"/>
      <c r="M11" s="64"/>
    </row>
    <row r="12" spans="4:14" ht="14.45" x14ac:dyDescent="0.35">
      <c r="D12" s="3" t="s">
        <v>1</v>
      </c>
      <c r="E12" s="7">
        <v>10112</v>
      </c>
      <c r="F12" s="8">
        <v>2255</v>
      </c>
      <c r="G12" s="6">
        <v>7857</v>
      </c>
      <c r="J12" s="33" t="s">
        <v>20</v>
      </c>
      <c r="K12" s="34"/>
      <c r="L12" s="34"/>
      <c r="M12" s="48">
        <v>242835478</v>
      </c>
    </row>
    <row r="13" spans="4:14" ht="14.45" x14ac:dyDescent="0.35">
      <c r="D13" s="3" t="s">
        <v>24</v>
      </c>
      <c r="E13" s="7">
        <v>1079</v>
      </c>
      <c r="F13" s="8">
        <v>730.09523809523807</v>
      </c>
      <c r="G13" s="6">
        <v>348.90476190476193</v>
      </c>
      <c r="J13" s="33" t="s">
        <v>21</v>
      </c>
      <c r="K13" s="34"/>
      <c r="L13" s="35"/>
      <c r="M13" s="49">
        <v>995329201</v>
      </c>
    </row>
    <row r="14" spans="4:14" ht="14.45" x14ac:dyDescent="0.35">
      <c r="D14" s="3" t="s">
        <v>3</v>
      </c>
      <c r="E14" s="7">
        <v>6741</v>
      </c>
      <c r="F14" s="8">
        <v>0</v>
      </c>
      <c r="G14" s="6">
        <v>6741</v>
      </c>
      <c r="J14" s="33" t="s">
        <v>23</v>
      </c>
      <c r="K14" s="34"/>
      <c r="L14" s="35"/>
      <c r="M14" s="49">
        <v>1070902190</v>
      </c>
      <c r="N14" s="47"/>
    </row>
    <row r="15" spans="4:14" ht="14.45" x14ac:dyDescent="0.35">
      <c r="D15" s="3" t="s">
        <v>25</v>
      </c>
      <c r="E15" s="7">
        <v>34832</v>
      </c>
      <c r="F15" s="8">
        <v>52439.496904761902</v>
      </c>
      <c r="G15" s="6">
        <v>-17607.496904761902</v>
      </c>
      <c r="J15" s="36" t="s">
        <v>22</v>
      </c>
      <c r="K15" s="37"/>
      <c r="L15" s="38"/>
      <c r="M15" s="50">
        <v>318408467</v>
      </c>
      <c r="N15" s="26"/>
    </row>
    <row r="16" spans="4:14" ht="14.45" x14ac:dyDescent="0.35">
      <c r="D16" s="3" t="s">
        <v>5</v>
      </c>
      <c r="E16" s="7">
        <v>0</v>
      </c>
      <c r="F16" s="8">
        <v>3642.8571428571427</v>
      </c>
      <c r="G16" s="6">
        <v>-3642.8571428571427</v>
      </c>
      <c r="M16" s="26"/>
    </row>
    <row r="17" spans="4:13" ht="14.45" x14ac:dyDescent="0.35">
      <c r="D17" s="3" t="s">
        <v>26</v>
      </c>
      <c r="E17" s="7">
        <v>13778</v>
      </c>
      <c r="F17" s="8">
        <v>357.14285714285717</v>
      </c>
      <c r="G17" s="6">
        <v>13420.857142857143</v>
      </c>
      <c r="M17" s="26"/>
    </row>
    <row r="18" spans="4:13" ht="14.45" x14ac:dyDescent="0.35">
      <c r="D18" s="3" t="s">
        <v>27</v>
      </c>
      <c r="E18" s="7">
        <v>45023</v>
      </c>
      <c r="F18" s="8">
        <v>14250.238095238095</v>
      </c>
      <c r="G18" s="6">
        <v>30772.761904761905</v>
      </c>
      <c r="M18" s="26"/>
    </row>
    <row r="19" spans="4:13" ht="14.45" x14ac:dyDescent="0.35">
      <c r="D19" s="3" t="s">
        <v>28</v>
      </c>
      <c r="E19" s="7">
        <v>13211</v>
      </c>
      <c r="F19" s="8">
        <v>0</v>
      </c>
      <c r="G19" s="6">
        <v>13211</v>
      </c>
      <c r="M19" s="26"/>
    </row>
    <row r="20" spans="4:13" ht="14.45" x14ac:dyDescent="0.35">
      <c r="D20" s="3" t="s">
        <v>29</v>
      </c>
      <c r="E20" s="7">
        <v>36629</v>
      </c>
      <c r="F20" s="8">
        <v>78946.666666666672</v>
      </c>
      <c r="G20" s="6">
        <v>-42317.666666666672</v>
      </c>
      <c r="M20" s="26"/>
    </row>
    <row r="21" spans="4:13" ht="14.45" x14ac:dyDescent="0.35">
      <c r="D21" s="3" t="s">
        <v>30</v>
      </c>
      <c r="E21" s="7">
        <v>0</v>
      </c>
      <c r="F21" s="8">
        <v>4637.7380952380954</v>
      </c>
      <c r="G21" s="6">
        <v>-4637.7380952380954</v>
      </c>
    </row>
    <row r="22" spans="4:13" thickBot="1" x14ac:dyDescent="0.4">
      <c r="D22" s="3" t="s">
        <v>31</v>
      </c>
      <c r="E22" s="7"/>
      <c r="F22" s="8">
        <v>7047.0167164179102</v>
      </c>
      <c r="G22" s="6">
        <f t="shared" ref="G22" si="0">E22-F22</f>
        <v>-7047.0167164179102</v>
      </c>
    </row>
    <row r="23" spans="4:13" thickBot="1" x14ac:dyDescent="0.4">
      <c r="D23" s="53" t="s">
        <v>10</v>
      </c>
      <c r="E23" s="54">
        <f>SUM(E11:E22)</f>
        <v>186077</v>
      </c>
      <c r="F23" s="54">
        <f t="shared" ref="F23:G23" si="1">SUM(F11:F22)</f>
        <v>224913.49314498936</v>
      </c>
      <c r="G23" s="59">
        <f t="shared" si="1"/>
        <v>-38836.493144989334</v>
      </c>
    </row>
    <row r="24" spans="4:13" thickBot="1" x14ac:dyDescent="0.4">
      <c r="D24" s="9" t="s">
        <v>19</v>
      </c>
      <c r="E24" s="7">
        <v>0</v>
      </c>
      <c r="F24" s="41"/>
      <c r="G24" s="6"/>
    </row>
    <row r="25" spans="4:13" ht="15.75" thickBot="1" x14ac:dyDescent="0.3">
      <c r="D25" s="53" t="s">
        <v>59</v>
      </c>
      <c r="E25" s="54">
        <f>SUM(E23:E24)</f>
        <v>186077</v>
      </c>
      <c r="F25" s="54">
        <f>SUM(F23:F24)</f>
        <v>224913.49314498936</v>
      </c>
      <c r="G25" s="60">
        <f>E25-F25</f>
        <v>-38836.493144989363</v>
      </c>
    </row>
    <row r="26" spans="4:13" thickBot="1" x14ac:dyDescent="0.4">
      <c r="D26" s="10" t="s">
        <v>13</v>
      </c>
      <c r="E26" s="11"/>
      <c r="F26" s="12"/>
      <c r="G26" s="45">
        <f>G25/E25</f>
        <v>-0.20871194798384196</v>
      </c>
    </row>
    <row r="28" spans="4:13" x14ac:dyDescent="0.25">
      <c r="D28" s="3" t="s">
        <v>57</v>
      </c>
      <c r="E28" s="7">
        <v>14236.9</v>
      </c>
      <c r="F28" s="8">
        <v>8402.3809523809523</v>
      </c>
      <c r="G28" s="6">
        <v>5834.5190476190473</v>
      </c>
    </row>
    <row r="29" spans="4:13" ht="15.75" thickBot="1" x14ac:dyDescent="0.3">
      <c r="D29" s="3" t="s">
        <v>58</v>
      </c>
      <c r="E29" s="7">
        <v>10714</v>
      </c>
      <c r="F29" s="8">
        <v>10714.285714285714</v>
      </c>
      <c r="G29" s="6">
        <v>-0.285714285713766</v>
      </c>
    </row>
    <row r="30" spans="4:13" ht="15.75" thickBot="1" x14ac:dyDescent="0.3">
      <c r="D30" s="53" t="s">
        <v>18</v>
      </c>
      <c r="E30" s="54">
        <v>211027.9</v>
      </c>
      <c r="F30" s="54">
        <v>236983.14309523808</v>
      </c>
      <c r="G30" s="60">
        <v>-25955.243095238086</v>
      </c>
    </row>
    <row r="33" spans="4:4" x14ac:dyDescent="0.25">
      <c r="D33" s="1" t="s">
        <v>53</v>
      </c>
    </row>
  </sheetData>
  <mergeCells count="4">
    <mergeCell ref="D8:D10"/>
    <mergeCell ref="E8:G8"/>
    <mergeCell ref="E9:G9"/>
    <mergeCell ref="J11:M11"/>
  </mergeCells>
  <conditionalFormatting sqref="G26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Niger</vt:lpstr>
      <vt:lpstr>CDI</vt:lpstr>
      <vt:lpstr>DRC</vt:lpstr>
      <vt:lpstr>Malawi</vt:lpstr>
      <vt:lpstr>Tanzania</vt:lpstr>
      <vt:lpstr>Uganda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2016-06-15T12:11:30Z</dcterms:created>
  <dcterms:modified xsi:type="dcterms:W3CDTF">2016-06-15T12:11:35Z</dcterms:modified>
</cp:coreProperties>
</file>