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hidePivotFieldList="1"/>
  <bookViews>
    <workbookView xWindow="0" yWindow="465" windowWidth="24240" windowHeight="13740"/>
  </bookViews>
  <sheets>
    <sheet name="summary" sheetId="9" r:id="rId1"/>
    <sheet name="Income analysis" sheetId="6" r:id="rId2"/>
    <sheet name="Implementation" sheetId="11" r:id="rId3"/>
    <sheet name="Research" sheetId="8" r:id="rId4"/>
    <sheet name="Central costs" sheetId="3" r:id="rId5"/>
  </sheets>
  <definedNames>
    <definedName name="_xlnm._FilterDatabase" localSheetId="2" hidden="1">Implementation!$A$1:$I$26</definedName>
  </definedNames>
  <calcPr calcId="15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3" l="1"/>
  <c r="B4" i="3"/>
  <c r="J4" i="3"/>
  <c r="B5" i="3"/>
  <c r="J5" i="3"/>
  <c r="B6" i="3"/>
  <c r="J6" i="3"/>
  <c r="J7" i="3"/>
  <c r="J8" i="3"/>
  <c r="J9" i="3"/>
  <c r="J10" i="3"/>
  <c r="B11" i="3"/>
  <c r="J11" i="3"/>
  <c r="J12" i="3"/>
  <c r="J13" i="3"/>
  <c r="J14" i="3"/>
  <c r="J16" i="3"/>
  <c r="K4" i="3"/>
  <c r="K5" i="3"/>
  <c r="K16" i="3"/>
  <c r="L4" i="3"/>
  <c r="L5" i="3"/>
  <c r="L16" i="3"/>
  <c r="K19" i="11"/>
  <c r="K23" i="11"/>
  <c r="K24" i="11"/>
  <c r="K25" i="11"/>
  <c r="C16" i="3"/>
  <c r="D16" i="3"/>
  <c r="E16" i="3"/>
  <c r="F16" i="3"/>
  <c r="G16" i="3"/>
  <c r="H16" i="3"/>
  <c r="I16" i="3"/>
  <c r="E7" i="9"/>
  <c r="D7" i="9"/>
  <c r="J5" i="8"/>
  <c r="E6" i="9"/>
  <c r="D6" i="9"/>
  <c r="E25" i="11"/>
  <c r="B16" i="3"/>
  <c r="C7" i="9"/>
  <c r="F25" i="11"/>
  <c r="C5" i="6"/>
  <c r="G7" i="11"/>
  <c r="G25" i="11"/>
  <c r="H20" i="11"/>
  <c r="H25" i="11"/>
  <c r="C4" i="11"/>
  <c r="I4" i="11"/>
  <c r="C5" i="11"/>
  <c r="I5" i="11"/>
  <c r="C6" i="11"/>
  <c r="I6" i="11"/>
  <c r="C7" i="11"/>
  <c r="I7" i="11"/>
  <c r="C8" i="11"/>
  <c r="I8" i="11"/>
  <c r="C9" i="11"/>
  <c r="I9" i="11"/>
  <c r="C10" i="11"/>
  <c r="I10" i="11"/>
  <c r="C11" i="11"/>
  <c r="I11" i="11"/>
  <c r="C12" i="11"/>
  <c r="I12" i="11"/>
  <c r="I13" i="11"/>
  <c r="I14" i="11"/>
  <c r="C17" i="11"/>
  <c r="I17" i="11"/>
  <c r="I18" i="11"/>
  <c r="I19" i="11"/>
  <c r="C21" i="11"/>
  <c r="I21" i="11"/>
  <c r="C22" i="11"/>
  <c r="I22" i="11"/>
  <c r="I25" i="11"/>
  <c r="C4" i="9"/>
  <c r="J24" i="11"/>
  <c r="J23" i="11"/>
  <c r="D24" i="11"/>
  <c r="C15" i="11"/>
  <c r="C25" i="11"/>
  <c r="B13" i="11"/>
  <c r="B14" i="11"/>
  <c r="B18" i="11"/>
  <c r="B19" i="11"/>
  <c r="B25" i="11"/>
  <c r="D23" i="11"/>
  <c r="J25" i="11"/>
  <c r="D4" i="9"/>
  <c r="E4" i="9"/>
  <c r="B7" i="6"/>
  <c r="B10" i="6"/>
  <c r="C6" i="6"/>
  <c r="E6" i="6"/>
  <c r="D6" i="6"/>
  <c r="C5" i="8"/>
  <c r="D5" i="8"/>
  <c r="E5" i="8"/>
  <c r="F5" i="8"/>
  <c r="G5" i="8"/>
  <c r="H5" i="8"/>
  <c r="I5" i="8"/>
  <c r="B5" i="8"/>
  <c r="C6" i="9"/>
  <c r="E5" i="6"/>
  <c r="D5" i="6"/>
  <c r="D8" i="9"/>
  <c r="D9" i="9"/>
  <c r="E8" i="9"/>
  <c r="E9" i="9"/>
  <c r="D25" i="11"/>
  <c r="C10" i="6"/>
  <c r="C8" i="9"/>
  <c r="C9" i="9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 xml:space="preserve">estimate of 10% of the total contract value is for IC overheads
</t>
        </r>
      </text>
    </comment>
    <comment ref="B9" authorId="0">
      <text>
        <r>
          <rPr>
            <sz val="9"/>
            <color indexed="81"/>
            <rFont val="Tahoma"/>
            <family val="2"/>
          </rPr>
          <t>zero will be spent and will be postpone until next year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K4" authorId="0">
      <text>
        <r>
          <rPr>
            <sz val="9"/>
            <color indexed="81"/>
            <rFont val="Tahoma"/>
            <family val="2"/>
          </rPr>
          <t xml:space="preserve">additional costs for additional staff and travel to new countries by SMT
</t>
        </r>
      </text>
    </comment>
    <comment ref="L4" authorId="0">
      <text>
        <r>
          <rPr>
            <sz val="9"/>
            <color indexed="81"/>
            <rFont val="Tahoma"/>
            <family val="2"/>
          </rPr>
          <t>additional costs for additional staff and travel to new countries by SMT</t>
        </r>
      </text>
    </comment>
  </commentList>
</comments>
</file>

<file path=xl/sharedStrings.xml><?xml version="1.0" encoding="utf-8"?>
<sst xmlns="http://schemas.openxmlformats.org/spreadsheetml/2006/main" count="122" uniqueCount="103">
  <si>
    <t>Country</t>
  </si>
  <si>
    <t>DFID</t>
  </si>
  <si>
    <t>UBS</t>
  </si>
  <si>
    <t>END Fund</t>
  </si>
  <si>
    <t>SCORE</t>
  </si>
  <si>
    <t>Cote D'Ivoire</t>
  </si>
  <si>
    <t>Liberia</t>
  </si>
  <si>
    <t xml:space="preserve">Malawi </t>
  </si>
  <si>
    <t xml:space="preserve">Mozambique </t>
  </si>
  <si>
    <t>Tanzania</t>
  </si>
  <si>
    <t>Zambia</t>
  </si>
  <si>
    <t xml:space="preserve">Niger </t>
  </si>
  <si>
    <t>Uganda</t>
  </si>
  <si>
    <t xml:space="preserve">DRC </t>
  </si>
  <si>
    <t xml:space="preserve">Ethiopia </t>
  </si>
  <si>
    <t>Burundi</t>
  </si>
  <si>
    <t>Rwanda</t>
  </si>
  <si>
    <t>Senegal</t>
  </si>
  <si>
    <t>Madagascar</t>
  </si>
  <si>
    <t>Yemen</t>
  </si>
  <si>
    <t>Sudan</t>
  </si>
  <si>
    <t>Mauritania</t>
  </si>
  <si>
    <t>Proposed Budget from Countries in GBP</t>
  </si>
  <si>
    <t>Funding Source Allocation</t>
  </si>
  <si>
    <t>-</t>
  </si>
  <si>
    <t>TOTALS</t>
  </si>
  <si>
    <t>Personnel</t>
  </si>
  <si>
    <t xml:space="preserve">Audit </t>
  </si>
  <si>
    <t>Meetings</t>
  </si>
  <si>
    <t>Approved Budget by CC in GBP</t>
  </si>
  <si>
    <t>CIFF</t>
  </si>
  <si>
    <t>Notes</t>
  </si>
  <si>
    <t>Nigeria</t>
  </si>
  <si>
    <t>MRC</t>
  </si>
  <si>
    <t>Gates</t>
  </si>
  <si>
    <t>Committed from DFID</t>
  </si>
  <si>
    <t>Committed from UBS</t>
  </si>
  <si>
    <t>Board meetings; 4/year at GBP3000/meeting + 2 all staff meeting at 2500/meeting</t>
  </si>
  <si>
    <t>Committed from CIFF</t>
  </si>
  <si>
    <t>Committed from END FUND</t>
  </si>
  <si>
    <t>intern/student costs</t>
  </si>
  <si>
    <t>Software</t>
  </si>
  <si>
    <t>Total</t>
  </si>
  <si>
    <t>Implementation costs</t>
  </si>
  <si>
    <t>Rolled implementation budget</t>
  </si>
  <si>
    <t>Research costs</t>
  </si>
  <si>
    <t>Central costs</t>
  </si>
  <si>
    <t>Reserve</t>
  </si>
  <si>
    <t>Total Costs</t>
  </si>
  <si>
    <t>End Fund</t>
  </si>
  <si>
    <t xml:space="preserve">International expenses of Ex pats </t>
  </si>
  <si>
    <t>2016-2017</t>
  </si>
  <si>
    <t>2017-2018</t>
  </si>
  <si>
    <t>2018-2019</t>
  </si>
  <si>
    <t>2019-2020</t>
  </si>
  <si>
    <t>Comments</t>
  </si>
  <si>
    <t>end-date 31 Dec. 2018; estimate of IC overhead 10%</t>
  </si>
  <si>
    <t>Gates challenge ends in Oct 2016</t>
  </si>
  <si>
    <t>Grant of GBP685,000 for Madagascar, end date 30 Sept. 2018; including 6% overhead for the college</t>
  </si>
  <si>
    <t>Committed from MRC</t>
  </si>
  <si>
    <t>Committed from Score</t>
  </si>
  <si>
    <t xml:space="preserve">Committed from Gates </t>
  </si>
  <si>
    <t>Total grant value USD 1,560,064=GBP 891,465 end date 30 June 2020; 6% overhead; overhead exclusions are the subcontracts; exchange rate at the time of the contract 1.75 GBP/USD now the exchange rate is 1.25</t>
  </si>
  <si>
    <t>MRC will be extended to Dec. 2018 because of maternity leave of researcher. (total SCI part of the grant is 57,109)</t>
  </si>
  <si>
    <t>I event per employee of their choice @3000/employee; including subscription to courses and networks</t>
  </si>
  <si>
    <t xml:space="preserve">furniture and equipment for SCI office are bought by the college; for the field are bought by Crown Agent funded by DFID; </t>
  </si>
  <si>
    <t>Statistics and other licenses</t>
  </si>
  <si>
    <t>including country monitoring visits</t>
  </si>
  <si>
    <t>to be negotiated with CIFF and End Fund if they insist on in-country presence</t>
  </si>
  <si>
    <t>Advocacy &amp; printing &amp; visibility</t>
  </si>
  <si>
    <t>Technical assistance only</t>
  </si>
  <si>
    <t xml:space="preserve">Zanzibar </t>
  </si>
  <si>
    <t>there is no signed contract with End Fund Yemen but there is a high probability to get the funds; if not then the costs of Yemen will be cut down unless we find another donor; End Fund Ethiopia ends in Feb. 2017. future funds will go directly to the MoH; + Liberia USD100k/year including overheads</t>
  </si>
  <si>
    <t>in country cost  per PZQ delivery</t>
  </si>
  <si>
    <t>Technical assistance</t>
  </si>
  <si>
    <t>Founder travel/Advocacy</t>
  </si>
  <si>
    <t>Travel for program management</t>
  </si>
  <si>
    <t>Strategic partnership</t>
  </si>
  <si>
    <t>WHO, NNN, GiveWell, MoH, Africa Networks</t>
  </si>
  <si>
    <t>on average 3 trips/employee/year @ GBP3000/trip+  additional 3 trips/program manager; SMT  trips</t>
  </si>
  <si>
    <t>Total Needs</t>
  </si>
  <si>
    <t>Funding GAP</t>
  </si>
  <si>
    <t>Funding Gap 2</t>
  </si>
  <si>
    <t>Funding Gap 1</t>
  </si>
  <si>
    <t>Funding GAP 3</t>
  </si>
  <si>
    <t xml:space="preserve">Hosting the NNN meeting </t>
  </si>
  <si>
    <t>Funding Gap 3</t>
  </si>
  <si>
    <t>Chad</t>
  </si>
  <si>
    <t>Zimbabwe</t>
  </si>
  <si>
    <t xml:space="preserve"> # of Treatments for funding gap 1 &amp;2</t>
  </si>
  <si>
    <t>original Budget in GBP</t>
  </si>
  <si>
    <t>Legal costs</t>
  </si>
  <si>
    <t>FY17/18 Scenario 1</t>
  </si>
  <si>
    <t>FY17/18 Scenario 2</t>
  </si>
  <si>
    <t>FY17/18 Scenario 3</t>
  </si>
  <si>
    <t>Unrestricted/ fundraising target</t>
  </si>
  <si>
    <t>and 20,000 for in country management</t>
  </si>
  <si>
    <t>and in country technical advice and M&amp;E from CIFF</t>
  </si>
  <si>
    <t>M&amp;E surveys initiatives</t>
  </si>
  <si>
    <t>Travel for conferences; capacity building</t>
  </si>
  <si>
    <t>Equipment</t>
  </si>
  <si>
    <t>SCI is chairing the meeting this year</t>
  </si>
  <si>
    <t>Summary  budget funding Gap in 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</si>
</sst>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_-;\-* #,##0_-;_-* &quot;-&quot;??_-;_-@_-"/>
    <numFmt numFmtId="167" formatCode="&quot;£&quot;#,##0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b/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165" fontId="4" fillId="0" borderId="0" applyFont="0" applyFill="0" applyBorder="0" applyAlignment="0" applyProtection="0"/>
    <xf numFmtId="0" fontId="8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91">
    <xf numFmtId="0" fontId="0" fillId="0" borderId="0" xfId="0"/>
    <xf numFmtId="0" fontId="1" fillId="0" borderId="13" xfId="0" applyFont="1" applyFill="1" applyBorder="1" applyAlignment="1">
      <alignment horizontal="center" vertical="center" wrapText="1"/>
    </xf>
    <xf numFmtId="165" fontId="0" fillId="0" borderId="0" xfId="0" applyNumberFormat="1"/>
    <xf numFmtId="0" fontId="7" fillId="0" borderId="0" xfId="0" applyFont="1"/>
    <xf numFmtId="0" fontId="0" fillId="0" borderId="0" xfId="0" applyBorder="1"/>
    <xf numFmtId="166" fontId="1" fillId="0" borderId="0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" fillId="0" borderId="2" xfId="0" applyNumberFormat="1" applyFont="1" applyBorder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7" fontId="0" fillId="0" borderId="0" xfId="0" applyNumberFormat="1" applyFont="1"/>
    <xf numFmtId="3" fontId="10" fillId="0" borderId="0" xfId="0" applyNumberFormat="1" applyFont="1"/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9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3" fontId="1" fillId="0" borderId="20" xfId="1" applyNumberFormat="1" applyFont="1" applyFill="1" applyBorder="1" applyAlignment="1">
      <alignment horizontal="right" vertical="center" wrapText="1"/>
    </xf>
    <xf numFmtId="3" fontId="1" fillId="0" borderId="23" xfId="1" applyNumberFormat="1" applyFont="1" applyFill="1" applyBorder="1" applyAlignment="1">
      <alignment horizontal="right" vertical="center" wrapText="1"/>
    </xf>
    <xf numFmtId="3" fontId="1" fillId="0" borderId="21" xfId="1" applyNumberFormat="1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6" fontId="4" fillId="0" borderId="30" xfId="1" applyNumberFormat="1" applyFont="1" applyBorder="1" applyAlignment="1">
      <alignment horizontal="right" vertical="center"/>
    </xf>
    <xf numFmtId="166" fontId="8" fillId="0" borderId="31" xfId="1" applyNumberFormat="1" applyFont="1" applyFill="1" applyBorder="1" applyAlignment="1">
      <alignment horizontal="right" vertical="center" wrapText="1"/>
    </xf>
    <xf numFmtId="2" fontId="8" fillId="0" borderId="31" xfId="1" applyNumberFormat="1" applyFont="1" applyFill="1" applyBorder="1" applyAlignment="1">
      <alignment horizontal="right" vertical="center" wrapText="1"/>
    </xf>
    <xf numFmtId="166" fontId="4" fillId="0" borderId="32" xfId="1" applyNumberFormat="1" applyFont="1" applyBorder="1" applyAlignment="1">
      <alignment horizontal="right" vertical="center"/>
    </xf>
    <xf numFmtId="166" fontId="8" fillId="2" borderId="4" xfId="1" applyNumberFormat="1" applyFont="1" applyFill="1" applyBorder="1" applyAlignment="1">
      <alignment horizontal="right" vertical="center" wrapText="1"/>
    </xf>
    <xf numFmtId="2" fontId="8" fillId="0" borderId="4" xfId="1" applyNumberFormat="1" applyFont="1" applyFill="1" applyBorder="1" applyAlignment="1">
      <alignment horizontal="right" vertical="center" wrapText="1"/>
    </xf>
    <xf numFmtId="3" fontId="9" fillId="0" borderId="32" xfId="0" applyNumberFormat="1" applyFont="1" applyFill="1" applyBorder="1" applyAlignment="1">
      <alignment horizontal="right" vertical="center" wrapText="1"/>
    </xf>
    <xf numFmtId="166" fontId="8" fillId="0" borderId="4" xfId="1" applyNumberFormat="1" applyFont="1" applyFill="1" applyBorder="1" applyAlignment="1">
      <alignment horizontal="right" vertical="center" wrapText="1"/>
    </xf>
    <xf numFmtId="166" fontId="2" fillId="2" borderId="4" xfId="1" applyNumberFormat="1" applyFont="1" applyFill="1" applyBorder="1" applyAlignment="1">
      <alignment horizontal="right" vertical="center"/>
    </xf>
    <xf numFmtId="166" fontId="4" fillId="0" borderId="4" xfId="1" applyNumberFormat="1" applyFont="1" applyBorder="1" applyAlignment="1">
      <alignment horizontal="right" vertical="center"/>
    </xf>
    <xf numFmtId="166" fontId="4" fillId="0" borderId="32" xfId="1" applyNumberFormat="1" applyFont="1" applyFill="1" applyBorder="1" applyAlignment="1">
      <alignment horizontal="right" vertical="center"/>
    </xf>
    <xf numFmtId="166" fontId="2" fillId="0" borderId="4" xfId="1" applyNumberFormat="1" applyFont="1" applyFill="1" applyBorder="1" applyAlignment="1">
      <alignment horizontal="right" vertical="center"/>
    </xf>
    <xf numFmtId="166" fontId="1" fillId="0" borderId="20" xfId="1" applyNumberFormat="1" applyFont="1" applyFill="1" applyBorder="1" applyAlignment="1">
      <alignment horizontal="right" vertical="center" wrapText="1"/>
    </xf>
    <xf numFmtId="166" fontId="1" fillId="0" borderId="21" xfId="1" applyNumberFormat="1" applyFont="1" applyFill="1" applyBorder="1" applyAlignment="1">
      <alignment horizontal="right" vertical="center" wrapText="1"/>
    </xf>
    <xf numFmtId="165" fontId="1" fillId="0" borderId="21" xfId="1" applyNumberFormat="1" applyFont="1" applyFill="1" applyBorder="1" applyAlignment="1">
      <alignment horizontal="right" vertical="center" wrapText="1"/>
    </xf>
    <xf numFmtId="3" fontId="3" fillId="0" borderId="25" xfId="0" applyNumberFormat="1" applyFont="1" applyBorder="1" applyAlignment="1">
      <alignment wrapText="1"/>
    </xf>
    <xf numFmtId="3" fontId="0" fillId="0" borderId="0" xfId="0" applyNumberFormat="1" applyFont="1"/>
    <xf numFmtId="3" fontId="0" fillId="0" borderId="18" xfId="0" applyNumberFormat="1" applyFont="1" applyFill="1" applyBorder="1"/>
    <xf numFmtId="3" fontId="0" fillId="0" borderId="6" xfId="0" applyNumberFormat="1" applyFont="1" applyFill="1" applyBorder="1"/>
    <xf numFmtId="167" fontId="3" fillId="0" borderId="37" xfId="0" applyNumberFormat="1" applyFont="1" applyFill="1" applyBorder="1" applyAlignment="1">
      <alignment horizontal="left" vertical="center" wrapText="1"/>
    </xf>
    <xf numFmtId="167" fontId="3" fillId="0" borderId="36" xfId="0" applyNumberFormat="1" applyFont="1" applyFill="1" applyBorder="1" applyAlignment="1">
      <alignment horizontal="left" vertical="center" wrapText="1"/>
    </xf>
    <xf numFmtId="3" fontId="3" fillId="0" borderId="21" xfId="1" applyNumberFormat="1" applyFont="1" applyFill="1" applyBorder="1" applyAlignment="1">
      <alignment horizontal="center" vertical="center" wrapText="1"/>
    </xf>
    <xf numFmtId="167" fontId="3" fillId="0" borderId="16" xfId="0" applyNumberFormat="1" applyFont="1" applyFill="1" applyBorder="1" applyAlignment="1">
      <alignment horizontal="left" vertical="center" wrapText="1"/>
    </xf>
    <xf numFmtId="3" fontId="3" fillId="0" borderId="16" xfId="1" applyNumberFormat="1" applyFont="1" applyFill="1" applyBorder="1" applyAlignment="1">
      <alignment horizontal="center" vertical="center" wrapText="1"/>
    </xf>
    <xf numFmtId="3" fontId="0" fillId="0" borderId="38" xfId="0" applyNumberFormat="1" applyBorder="1" applyAlignment="1">
      <alignment horizontal="right" vertical="center"/>
    </xf>
    <xf numFmtId="0" fontId="0" fillId="0" borderId="0" xfId="0"/>
    <xf numFmtId="3" fontId="0" fillId="0" borderId="31" xfId="0" applyNumberFormat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32" xfId="0" applyBorder="1"/>
    <xf numFmtId="3" fontId="0" fillId="0" borderId="4" xfId="0" applyNumberFormat="1" applyBorder="1"/>
    <xf numFmtId="0" fontId="0" fillId="0" borderId="20" xfId="0" applyBorder="1"/>
    <xf numFmtId="0" fontId="0" fillId="0" borderId="10" xfId="0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7" fillId="0" borderId="12" xfId="0" applyFont="1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8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3" fontId="0" fillId="0" borderId="4" xfId="1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3" fontId="7" fillId="0" borderId="33" xfId="0" applyNumberFormat="1" applyFont="1" applyFill="1" applyBorder="1"/>
    <xf numFmtId="3" fontId="7" fillId="0" borderId="18" xfId="0" applyNumberFormat="1" applyFont="1" applyFill="1" applyBorder="1"/>
    <xf numFmtId="3" fontId="7" fillId="0" borderId="39" xfId="0" applyNumberFormat="1" applyFont="1" applyFill="1" applyBorder="1"/>
    <xf numFmtId="3" fontId="7" fillId="0" borderId="6" xfId="0" applyNumberFormat="1" applyFont="1" applyFill="1" applyBorder="1"/>
    <xf numFmtId="3" fontId="3" fillId="0" borderId="20" xfId="1" applyNumberFormat="1" applyFont="1" applyFill="1" applyBorder="1" applyAlignment="1">
      <alignment horizontal="center" vertical="center" wrapText="1"/>
    </xf>
    <xf numFmtId="0" fontId="0" fillId="0" borderId="34" xfId="0" applyBorder="1"/>
    <xf numFmtId="0" fontId="7" fillId="0" borderId="1" xfId="0" applyFont="1" applyBorder="1"/>
    <xf numFmtId="0" fontId="0" fillId="0" borderId="33" xfId="0" applyBorder="1"/>
    <xf numFmtId="3" fontId="0" fillId="0" borderId="18" xfId="0" applyNumberFormat="1" applyBorder="1"/>
    <xf numFmtId="0" fontId="7" fillId="0" borderId="20" xfId="0" applyFont="1" applyBorder="1"/>
    <xf numFmtId="3" fontId="7" fillId="0" borderId="21" xfId="0" applyNumberFormat="1" applyFont="1" applyBorder="1"/>
    <xf numFmtId="0" fontId="0" fillId="0" borderId="5" xfId="0" applyBorder="1" applyAlignment="1">
      <alignment wrapText="1"/>
    </xf>
    <xf numFmtId="0" fontId="7" fillId="0" borderId="21" xfId="0" applyFont="1" applyBorder="1"/>
    <xf numFmtId="0" fontId="7" fillId="0" borderId="22" xfId="0" applyFont="1" applyFill="1" applyBorder="1" applyAlignment="1">
      <alignment wrapText="1"/>
    </xf>
    <xf numFmtId="0" fontId="0" fillId="0" borderId="19" xfId="0" applyBorder="1" applyAlignment="1">
      <alignment wrapText="1"/>
    </xf>
    <xf numFmtId="3" fontId="0" fillId="3" borderId="4" xfId="0" applyNumberFormat="1" applyFont="1" applyFill="1" applyBorder="1"/>
    <xf numFmtId="3" fontId="0" fillId="3" borderId="18" xfId="0" applyNumberFormat="1" applyFont="1" applyFill="1" applyBorder="1"/>
    <xf numFmtId="0" fontId="3" fillId="0" borderId="44" xfId="0" applyFont="1" applyBorder="1" applyAlignment="1">
      <alignment horizontal="center" wrapText="1"/>
    </xf>
    <xf numFmtId="3" fontId="11" fillId="0" borderId="9" xfId="0" applyNumberFormat="1" applyFont="1" applyBorder="1" applyAlignment="1">
      <alignment horizontal="right" vertical="center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7" fillId="0" borderId="16" xfId="0" applyFont="1" applyBorder="1" applyAlignment="1">
      <alignment horizontal="left" vertical="center" wrapText="1"/>
    </xf>
    <xf numFmtId="3" fontId="7" fillId="0" borderId="16" xfId="0" applyNumberFormat="1" applyFont="1" applyBorder="1"/>
    <xf numFmtId="3" fontId="7" fillId="0" borderId="23" xfId="0" applyNumberFormat="1" applyFont="1" applyBorder="1"/>
    <xf numFmtId="0" fontId="7" fillId="0" borderId="16" xfId="0" applyFont="1" applyBorder="1" applyAlignment="1">
      <alignment wrapText="1"/>
    </xf>
    <xf numFmtId="0" fontId="0" fillId="0" borderId="45" xfId="0" applyBorder="1"/>
    <xf numFmtId="0" fontId="7" fillId="0" borderId="15" xfId="0" applyFont="1" applyBorder="1"/>
    <xf numFmtId="0" fontId="7" fillId="0" borderId="46" xfId="0" applyFont="1" applyFill="1" applyBorder="1" applyAlignment="1">
      <alignment wrapText="1"/>
    </xf>
    <xf numFmtId="3" fontId="0" fillId="3" borderId="31" xfId="0" applyNumberFormat="1" applyFont="1" applyFill="1" applyBorder="1" applyAlignment="1">
      <alignment horizontal="right"/>
    </xf>
    <xf numFmtId="0" fontId="12" fillId="0" borderId="20" xfId="0" applyFont="1" applyFill="1" applyBorder="1"/>
    <xf numFmtId="3" fontId="12" fillId="3" borderId="21" xfId="0" applyNumberFormat="1" applyFont="1" applyFill="1" applyBorder="1"/>
    <xf numFmtId="3" fontId="12" fillId="4" borderId="21" xfId="0" applyNumberFormat="1" applyFont="1" applyFill="1" applyBorder="1"/>
    <xf numFmtId="0" fontId="13" fillId="0" borderId="22" xfId="0" applyFont="1" applyFill="1" applyBorder="1" applyAlignment="1">
      <alignment wrapText="1"/>
    </xf>
    <xf numFmtId="3" fontId="3" fillId="0" borderId="47" xfId="0" applyNumberFormat="1" applyFont="1" applyBorder="1" applyAlignment="1">
      <alignment wrapText="1"/>
    </xf>
    <xf numFmtId="3" fontId="0" fillId="0" borderId="48" xfId="0" applyNumberFormat="1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/>
    </xf>
    <xf numFmtId="3" fontId="3" fillId="0" borderId="50" xfId="1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wrapText="1"/>
    </xf>
    <xf numFmtId="3" fontId="0" fillId="5" borderId="19" xfId="0" applyNumberFormat="1" applyFont="1" applyFill="1" applyBorder="1" applyAlignment="1">
      <alignment horizontal="right"/>
    </xf>
    <xf numFmtId="3" fontId="0" fillId="5" borderId="7" xfId="0" applyNumberFormat="1" applyFont="1" applyFill="1" applyBorder="1" applyAlignment="1">
      <alignment horizontal="right"/>
    </xf>
    <xf numFmtId="3" fontId="3" fillId="5" borderId="22" xfId="1" applyNumberFormat="1" applyFont="1" applyFill="1" applyBorder="1" applyAlignment="1">
      <alignment horizontal="right" vertical="center" wrapText="1"/>
    </xf>
    <xf numFmtId="3" fontId="0" fillId="5" borderId="1" xfId="0" applyNumberFormat="1" applyFill="1" applyBorder="1" applyAlignment="1">
      <alignment horizontal="right" vertical="center" wrapText="1"/>
    </xf>
    <xf numFmtId="3" fontId="0" fillId="7" borderId="1" xfId="0" applyNumberFormat="1" applyFill="1" applyBorder="1" applyAlignment="1">
      <alignment horizontal="right" vertical="center" wrapText="1"/>
    </xf>
    <xf numFmtId="3" fontId="0" fillId="6" borderId="3" xfId="0" applyNumberFormat="1" applyFill="1" applyBorder="1" applyAlignment="1">
      <alignment horizontal="right" vertical="center" wrapText="1"/>
    </xf>
    <xf numFmtId="3" fontId="0" fillId="5" borderId="4" xfId="0" applyNumberFormat="1" applyFill="1" applyBorder="1" applyAlignment="1">
      <alignment horizontal="right" vertical="center" wrapText="1"/>
    </xf>
    <xf numFmtId="3" fontId="0" fillId="7" borderId="4" xfId="0" applyNumberFormat="1" applyFill="1" applyBorder="1" applyAlignment="1">
      <alignment horizontal="right" vertical="center" wrapText="1"/>
    </xf>
    <xf numFmtId="3" fontId="0" fillId="6" borderId="5" xfId="0" applyNumberFormat="1" applyFill="1" applyBorder="1" applyAlignment="1">
      <alignment horizontal="right" vertical="center" wrapText="1"/>
    </xf>
    <xf numFmtId="3" fontId="7" fillId="5" borderId="21" xfId="0" applyNumberFormat="1" applyFont="1" applyFill="1" applyBorder="1"/>
    <xf numFmtId="3" fontId="7" fillId="7" borderId="21" xfId="0" applyNumberFormat="1" applyFont="1" applyFill="1" applyBorder="1"/>
    <xf numFmtId="0" fontId="3" fillId="0" borderId="39" xfId="0" applyFont="1" applyBorder="1" applyAlignment="1">
      <alignment wrapText="1"/>
    </xf>
    <xf numFmtId="0" fontId="3" fillId="0" borderId="6" xfId="0" applyFont="1" applyBorder="1" applyAlignment="1">
      <alignment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wrapText="1"/>
    </xf>
    <xf numFmtId="3" fontId="7" fillId="6" borderId="21" xfId="0" applyNumberFormat="1" applyFont="1" applyFill="1" applyBorder="1"/>
    <xf numFmtId="3" fontId="0" fillId="0" borderId="51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4" xfId="1" applyNumberFormat="1" applyFont="1" applyFill="1" applyBorder="1" applyAlignment="1">
      <alignment horizontal="right" vertical="center"/>
    </xf>
    <xf numFmtId="3" fontId="0" fillId="0" borderId="24" xfId="0" applyNumberFormat="1" applyFill="1" applyBorder="1" applyAlignment="1">
      <alignment horizontal="right" vertical="center"/>
    </xf>
    <xf numFmtId="3" fontId="1" fillId="0" borderId="43" xfId="1" applyNumberFormat="1" applyFont="1" applyFill="1" applyBorder="1" applyAlignment="1">
      <alignment horizontal="right" vertical="center" wrapText="1"/>
    </xf>
    <xf numFmtId="3" fontId="2" fillId="5" borderId="4" xfId="0" applyNumberFormat="1" applyFont="1" applyFill="1" applyBorder="1" applyAlignment="1">
      <alignment horizontal="right" vertical="center" wrapText="1"/>
    </xf>
    <xf numFmtId="3" fontId="1" fillId="5" borderId="21" xfId="1" applyNumberFormat="1" applyFont="1" applyFill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3" fontId="2" fillId="7" borderId="4" xfId="0" applyNumberFormat="1" applyFont="1" applyFill="1" applyBorder="1" applyAlignment="1">
      <alignment horizontal="right" vertical="center" wrapText="1"/>
    </xf>
    <xf numFmtId="3" fontId="1" fillId="7" borderId="21" xfId="1" applyNumberFormat="1" applyFont="1" applyFill="1" applyBorder="1" applyAlignment="1">
      <alignment horizontal="right" vertical="center" wrapText="1"/>
    </xf>
    <xf numFmtId="3" fontId="2" fillId="6" borderId="5" xfId="0" applyNumberFormat="1" applyFont="1" applyFill="1" applyBorder="1" applyAlignment="1">
      <alignment horizontal="right" vertical="center" wrapText="1"/>
    </xf>
    <xf numFmtId="3" fontId="1" fillId="6" borderId="22" xfId="1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166" fontId="4" fillId="0" borderId="39" xfId="1" applyNumberFormat="1" applyFont="1" applyBorder="1" applyAlignment="1">
      <alignment horizontal="right" vertical="center"/>
    </xf>
    <xf numFmtId="166" fontId="8" fillId="0" borderId="6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Fill="1" applyBorder="1" applyAlignment="1">
      <alignment horizontal="right" vertical="center" wrapText="1"/>
    </xf>
    <xf numFmtId="3" fontId="0" fillId="0" borderId="54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" fontId="2" fillId="5" borderId="6" xfId="0" applyNumberFormat="1" applyFont="1" applyFill="1" applyBorder="1" applyAlignment="1">
      <alignment horizontal="right" vertical="center" wrapText="1"/>
    </xf>
    <xf numFmtId="3" fontId="2" fillId="7" borderId="6" xfId="0" applyNumberFormat="1" applyFont="1" applyFill="1" applyBorder="1" applyAlignment="1">
      <alignment horizontal="right" vertical="center" wrapText="1"/>
    </xf>
    <xf numFmtId="3" fontId="2" fillId="6" borderId="7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wrapText="1"/>
    </xf>
    <xf numFmtId="3" fontId="7" fillId="0" borderId="13" xfId="0" applyNumberFormat="1" applyFont="1" applyFill="1" applyBorder="1"/>
    <xf numFmtId="3" fontId="7" fillId="0" borderId="14" xfId="0" applyNumberFormat="1" applyFont="1" applyFill="1" applyBorder="1"/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3" fontId="0" fillId="0" borderId="14" xfId="0" applyNumberFormat="1" applyBorder="1" applyAlignment="1">
      <alignment horizontal="right" vertical="center" wrapText="1"/>
    </xf>
    <xf numFmtId="0" fontId="0" fillId="0" borderId="54" xfId="0" applyBorder="1" applyAlignment="1">
      <alignment horizontal="left" vertical="center" wrapText="1"/>
    </xf>
    <xf numFmtId="3" fontId="0" fillId="5" borderId="6" xfId="0" applyNumberFormat="1" applyFill="1" applyBorder="1" applyAlignment="1">
      <alignment horizontal="right" vertical="center" wrapText="1"/>
    </xf>
    <xf numFmtId="3" fontId="0" fillId="7" borderId="6" xfId="0" applyNumberFormat="1" applyFill="1" applyBorder="1" applyAlignment="1">
      <alignment horizontal="right" vertical="center" wrapText="1"/>
    </xf>
    <xf numFmtId="3" fontId="0" fillId="6" borderId="7" xfId="0" applyNumberFormat="1" applyFill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3" fontId="0" fillId="5" borderId="4" xfId="0" applyNumberFormat="1" applyFill="1" applyBorder="1"/>
    <xf numFmtId="3" fontId="0" fillId="5" borderId="18" xfId="0" applyNumberFormat="1" applyFill="1" applyBorder="1"/>
    <xf numFmtId="3" fontId="0" fillId="7" borderId="4" xfId="0" applyNumberFormat="1" applyFill="1" applyBorder="1"/>
    <xf numFmtId="3" fontId="0" fillId="7" borderId="18" xfId="0" applyNumberFormat="1" applyFill="1" applyBorder="1"/>
    <xf numFmtId="3" fontId="0" fillId="6" borderId="5" xfId="0" applyNumberFormat="1" applyFill="1" applyBorder="1"/>
    <xf numFmtId="3" fontId="0" fillId="6" borderId="19" xfId="0" applyNumberFormat="1" applyFill="1" applyBorder="1"/>
    <xf numFmtId="3" fontId="7" fillId="6" borderId="22" xfId="0" applyNumberFormat="1" applyFont="1" applyFill="1" applyBorder="1"/>
    <xf numFmtId="3" fontId="12" fillId="2" borderId="15" xfId="0" applyNumberFormat="1" applyFont="1" applyFill="1" applyBorder="1"/>
    <xf numFmtId="3" fontId="0" fillId="0" borderId="0" xfId="0" applyNumberFormat="1" applyBorder="1"/>
    <xf numFmtId="1" fontId="0" fillId="0" borderId="0" xfId="0" applyNumberFormat="1"/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52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167" fontId="3" fillId="0" borderId="35" xfId="0" applyNumberFormat="1" applyFont="1" applyBorder="1" applyAlignment="1">
      <alignment horizontal="left" vertical="center" wrapText="1"/>
    </xf>
    <xf numFmtId="167" fontId="3" fillId="0" borderId="36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35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3" fontId="7" fillId="0" borderId="10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</cellXfs>
  <cellStyles count="5">
    <cellStyle name="Comma" xfId="1" builtinId="3"/>
    <cellStyle name="Comma 2" xfId="3"/>
    <cellStyle name="Currency 2" xfId="4"/>
    <cellStyle name="Normal" xfId="0" builtinId="0"/>
    <cellStyle name="Normal 4" xfId="2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/>
  </sheetViews>
  <sheetFormatPr defaultColWidth="8.85546875" defaultRowHeight="15" x14ac:dyDescent="0.25"/>
  <cols>
    <col min="1" max="1" width="2.42578125" customWidth="1"/>
    <col min="2" max="2" width="29.42578125" customWidth="1"/>
    <col min="3" max="3" width="17" style="6" customWidth="1"/>
    <col min="4" max="4" width="19.140625" customWidth="1"/>
    <col min="5" max="5" width="18.42578125" customWidth="1"/>
  </cols>
  <sheetData>
    <row r="2" spans="2:6" ht="32.25" customHeight="1" thickBot="1" x14ac:dyDescent="0.25">
      <c r="B2" s="3" t="s">
        <v>102</v>
      </c>
    </row>
    <row r="3" spans="2:6" ht="24.75" customHeight="1" x14ac:dyDescent="0.2">
      <c r="B3" s="76"/>
      <c r="C3" s="77" t="s">
        <v>92</v>
      </c>
      <c r="D3" s="77" t="s">
        <v>93</v>
      </c>
      <c r="E3" s="77" t="s">
        <v>94</v>
      </c>
    </row>
    <row r="4" spans="2:6" ht="28.5" customHeight="1" x14ac:dyDescent="0.2">
      <c r="B4" s="51" t="s">
        <v>43</v>
      </c>
      <c r="C4" s="159">
        <f>SUM(Implementation!E25:I25)</f>
        <v>11469531.9135</v>
      </c>
      <c r="D4" s="161">
        <f>SUM(Implementation!E25:H25)+Implementation!J25</f>
        <v>14471819.9135</v>
      </c>
      <c r="E4" s="163">
        <f>SUM(Implementation!E25:H25)+Implementation!K25</f>
        <v>30172229.863499999</v>
      </c>
    </row>
    <row r="5" spans="2:6" ht="28.5" customHeight="1" x14ac:dyDescent="0.2">
      <c r="B5" s="51" t="s">
        <v>44</v>
      </c>
      <c r="C5" s="159">
        <v>0</v>
      </c>
      <c r="D5" s="161">
        <v>0</v>
      </c>
      <c r="E5" s="163">
        <v>0</v>
      </c>
    </row>
    <row r="6" spans="2:6" ht="28.5" customHeight="1" x14ac:dyDescent="0.2">
      <c r="B6" s="51" t="s">
        <v>45</v>
      </c>
      <c r="C6" s="159">
        <f>Research!J5</f>
        <v>45000</v>
      </c>
      <c r="D6" s="161">
        <f>Research!J5</f>
        <v>45000</v>
      </c>
      <c r="E6" s="163">
        <f>Research!J5</f>
        <v>45000</v>
      </c>
    </row>
    <row r="7" spans="2:6" ht="28.5" customHeight="1" x14ac:dyDescent="0.2">
      <c r="B7" s="51" t="s">
        <v>46</v>
      </c>
      <c r="C7" s="159">
        <f>'Central costs'!B16</f>
        <v>2934256.600075</v>
      </c>
      <c r="D7" s="161">
        <f>SUM('Central costs'!C16:I16)+'Central costs'!K16</f>
        <v>3326524.7439750005</v>
      </c>
      <c r="E7" s="163">
        <f>SUM('Central costs'!C16:I16)+'Central costs'!L16</f>
        <v>3392701.6304750005</v>
      </c>
    </row>
    <row r="8" spans="2:6" ht="28.5" customHeight="1" thickBot="1" x14ac:dyDescent="0.25">
      <c r="B8" s="78" t="s">
        <v>47</v>
      </c>
      <c r="C8" s="160">
        <f>SUM(C4:C7)/12</f>
        <v>1204065.7094645833</v>
      </c>
      <c r="D8" s="162">
        <f t="shared" ref="D8:E8" si="0">SUM(D4:D7)/12</f>
        <v>1486945.3881229169</v>
      </c>
      <c r="E8" s="164">
        <f t="shared" si="0"/>
        <v>2800827.6244979165</v>
      </c>
    </row>
    <row r="9" spans="2:6" ht="28.5" customHeight="1" thickBot="1" x14ac:dyDescent="0.25">
      <c r="B9" s="80" t="s">
        <v>48</v>
      </c>
      <c r="C9" s="118">
        <f>SUM(C4:C8)</f>
        <v>15652854.223039582</v>
      </c>
      <c r="D9" s="119">
        <f t="shared" ref="D9:E9" si="1">SUM(D4:D8)</f>
        <v>19330290.045597918</v>
      </c>
      <c r="E9" s="165">
        <f t="shared" si="1"/>
        <v>36410759.118472919</v>
      </c>
    </row>
    <row r="12" spans="2:6" x14ac:dyDescent="0.2">
      <c r="D12" s="168"/>
      <c r="E12" s="168"/>
      <c r="F12" s="168"/>
    </row>
    <row r="13" spans="2:6" x14ac:dyDescent="0.2">
      <c r="D13" s="168"/>
      <c r="E13" s="168"/>
      <c r="F13" s="168"/>
    </row>
    <row r="14" spans="2:6" x14ac:dyDescent="0.2">
      <c r="E14" s="48"/>
      <c r="F14" s="48"/>
    </row>
    <row r="15" spans="2:6" x14ac:dyDescent="0.2">
      <c r="D15" s="6"/>
      <c r="E15" s="6"/>
    </row>
    <row r="17" spans="4:5" x14ac:dyDescent="0.2">
      <c r="D17" s="6"/>
      <c r="E1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"/>
  <sheetViews>
    <sheetView workbookViewId="0"/>
  </sheetViews>
  <sheetFormatPr defaultColWidth="8.85546875" defaultRowHeight="15" x14ac:dyDescent="0.25"/>
  <cols>
    <col min="1" max="1" width="30.140625" customWidth="1"/>
    <col min="2" max="2" width="13.7109375" style="6" customWidth="1"/>
    <col min="3" max="5" width="13.7109375" customWidth="1"/>
    <col min="6" max="6" width="43.140625" style="9" customWidth="1"/>
  </cols>
  <sheetData>
    <row r="1" spans="1:9" ht="45" customHeight="1" thickBot="1" x14ac:dyDescent="0.25">
      <c r="A1" s="53"/>
      <c r="B1" s="81" t="s">
        <v>51</v>
      </c>
      <c r="C1" s="83" t="s">
        <v>52</v>
      </c>
      <c r="D1" s="83" t="s">
        <v>53</v>
      </c>
      <c r="E1" s="83" t="s">
        <v>54</v>
      </c>
      <c r="F1" s="84" t="s">
        <v>55</v>
      </c>
    </row>
    <row r="2" spans="1:9" s="48" customFormat="1" ht="45" customHeight="1" x14ac:dyDescent="0.2">
      <c r="A2" s="96" t="s">
        <v>95</v>
      </c>
      <c r="B2" s="99">
        <v>4934549.5672553303</v>
      </c>
      <c r="C2" s="166"/>
      <c r="D2" s="97"/>
      <c r="E2" s="97"/>
      <c r="F2" s="98"/>
    </row>
    <row r="3" spans="1:9" ht="45" customHeight="1" x14ac:dyDescent="0.2">
      <c r="A3" s="51" t="s">
        <v>35</v>
      </c>
      <c r="B3" s="86">
        <v>4285439.42</v>
      </c>
      <c r="C3" s="52">
        <v>4398701</v>
      </c>
      <c r="D3" s="52">
        <v>4313280.2965166047</v>
      </c>
      <c r="E3" s="52">
        <v>0</v>
      </c>
      <c r="F3" s="82" t="s">
        <v>56</v>
      </c>
      <c r="I3" s="6"/>
    </row>
    <row r="4" spans="1:9" ht="53.25" customHeight="1" x14ac:dyDescent="0.2">
      <c r="A4" s="51" t="s">
        <v>36</v>
      </c>
      <c r="B4" s="86">
        <v>257753</v>
      </c>
      <c r="C4" s="52">
        <v>308754</v>
      </c>
      <c r="D4" s="52">
        <v>56492</v>
      </c>
      <c r="E4" s="52">
        <v>0</v>
      </c>
      <c r="F4" s="82" t="s">
        <v>58</v>
      </c>
      <c r="I4" s="6"/>
    </row>
    <row r="5" spans="1:9" ht="81" customHeight="1" x14ac:dyDescent="0.2">
      <c r="A5" s="51" t="s">
        <v>38</v>
      </c>
      <c r="B5" s="86">
        <v>261645</v>
      </c>
      <c r="C5" s="52">
        <f>(310502-9571)/1.25</f>
        <v>240744.8</v>
      </c>
      <c r="D5" s="52">
        <f>(270336-9300)/1.25</f>
        <v>208828.79999999999</v>
      </c>
      <c r="E5" s="52">
        <f>312772-11330</f>
        <v>301442</v>
      </c>
      <c r="F5" s="82" t="s">
        <v>62</v>
      </c>
      <c r="I5" s="6"/>
    </row>
    <row r="6" spans="1:9" ht="90" x14ac:dyDescent="0.2">
      <c r="A6" s="51" t="s">
        <v>39</v>
      </c>
      <c r="B6" s="86">
        <v>908860</v>
      </c>
      <c r="C6" s="52">
        <f>(300000+94000)/1.25</f>
        <v>315200</v>
      </c>
      <c r="D6" s="52">
        <f>500000+94000/1.25</f>
        <v>575200</v>
      </c>
      <c r="E6" s="52">
        <f>500000+94000/1.25</f>
        <v>575200</v>
      </c>
      <c r="F6" s="82" t="s">
        <v>72</v>
      </c>
      <c r="I6" s="6"/>
    </row>
    <row r="7" spans="1:9" ht="33" customHeight="1" x14ac:dyDescent="0.2">
      <c r="A7" s="51" t="s">
        <v>60</v>
      </c>
      <c r="B7" s="86">
        <f>92000+3000</f>
        <v>95000</v>
      </c>
      <c r="C7" s="52">
        <v>0</v>
      </c>
      <c r="D7" s="52">
        <v>0</v>
      </c>
      <c r="E7" s="52">
        <v>0</v>
      </c>
      <c r="F7" s="82"/>
    </row>
    <row r="8" spans="1:9" ht="33" customHeight="1" x14ac:dyDescent="0.2">
      <c r="A8" s="51" t="s">
        <v>61</v>
      </c>
      <c r="B8" s="86">
        <v>79105</v>
      </c>
      <c r="C8" s="52">
        <v>0</v>
      </c>
      <c r="D8" s="52">
        <v>0</v>
      </c>
      <c r="E8" s="52">
        <v>0</v>
      </c>
      <c r="F8" s="82" t="s">
        <v>57</v>
      </c>
    </row>
    <row r="9" spans="1:9" ht="33" customHeight="1" thickBot="1" x14ac:dyDescent="0.25">
      <c r="A9" s="78" t="s">
        <v>59</v>
      </c>
      <c r="B9" s="87">
        <v>0</v>
      </c>
      <c r="C9" s="79">
        <v>21558</v>
      </c>
      <c r="D9" s="79">
        <v>25550</v>
      </c>
      <c r="E9" s="79">
        <v>10000</v>
      </c>
      <c r="F9" s="85" t="s">
        <v>63</v>
      </c>
    </row>
    <row r="10" spans="1:9" ht="28.5" customHeight="1" thickBot="1" x14ac:dyDescent="0.25">
      <c r="A10" s="100" t="s">
        <v>80</v>
      </c>
      <c r="B10" s="101">
        <f>SUM(B2:B9)</f>
        <v>10822351.987255331</v>
      </c>
      <c r="C10" s="102">
        <f>SUM(C2:C9)</f>
        <v>5284957.8</v>
      </c>
      <c r="D10" s="102"/>
      <c r="E10" s="102"/>
      <c r="F10" s="103"/>
    </row>
    <row r="12" spans="1:9" x14ac:dyDescent="0.25">
      <c r="C12" s="6"/>
    </row>
    <row r="13" spans="1:9" x14ac:dyDescent="0.25">
      <c r="E13" s="6"/>
    </row>
  </sheetData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ColWidth="8.85546875" defaultRowHeight="15" x14ac:dyDescent="0.25"/>
  <cols>
    <col min="1" max="1" width="13.7109375" style="48" customWidth="1"/>
    <col min="2" max="2" width="14" style="12" customWidth="1"/>
    <col min="3" max="4" width="13.7109375" style="12" customWidth="1"/>
    <col min="5" max="5" width="14.140625" style="13" customWidth="1"/>
    <col min="6" max="7" width="14.85546875" style="13" customWidth="1"/>
    <col min="8" max="8" width="14.7109375" style="13" customWidth="1"/>
    <col min="9" max="11" width="18.42578125" style="13" customWidth="1"/>
    <col min="12" max="12" width="36.7109375" style="9" customWidth="1"/>
    <col min="13" max="13" width="50" style="48" customWidth="1"/>
    <col min="14" max="14" width="18.7109375" style="48" customWidth="1"/>
    <col min="15" max="16384" width="8.85546875" style="48"/>
  </cols>
  <sheetData>
    <row r="1" spans="1:12" ht="15.95" thickBot="1" x14ac:dyDescent="0.25"/>
    <row r="2" spans="1:12" ht="30" customHeight="1" x14ac:dyDescent="0.25">
      <c r="A2" s="171" t="s">
        <v>0</v>
      </c>
      <c r="B2" s="169" t="s">
        <v>89</v>
      </c>
      <c r="C2" s="173" t="s">
        <v>22</v>
      </c>
      <c r="D2" s="173" t="s">
        <v>73</v>
      </c>
      <c r="E2" s="175" t="s">
        <v>23</v>
      </c>
      <c r="F2" s="176"/>
      <c r="G2" s="176"/>
      <c r="H2" s="176"/>
      <c r="I2" s="176"/>
      <c r="J2" s="176"/>
      <c r="K2" s="177"/>
      <c r="L2" s="169" t="s">
        <v>55</v>
      </c>
    </row>
    <row r="3" spans="1:12" ht="30" customHeight="1" thickBot="1" x14ac:dyDescent="0.3">
      <c r="A3" s="172"/>
      <c r="B3" s="170"/>
      <c r="C3" s="174"/>
      <c r="D3" s="174"/>
      <c r="E3" s="122" t="s">
        <v>1</v>
      </c>
      <c r="F3" s="122" t="s">
        <v>2</v>
      </c>
      <c r="G3" s="122" t="s">
        <v>30</v>
      </c>
      <c r="H3" s="132" t="s">
        <v>3</v>
      </c>
      <c r="I3" s="122" t="s">
        <v>83</v>
      </c>
      <c r="J3" s="122" t="s">
        <v>82</v>
      </c>
      <c r="K3" s="122" t="s">
        <v>86</v>
      </c>
      <c r="L3" s="170"/>
    </row>
    <row r="4" spans="1:12" ht="30" customHeight="1" x14ac:dyDescent="0.2">
      <c r="A4" s="50" t="s">
        <v>15</v>
      </c>
      <c r="B4" s="23">
        <v>240000</v>
      </c>
      <c r="C4" s="24">
        <f t="shared" ref="C4:C12" si="0">B4*D4</f>
        <v>24000</v>
      </c>
      <c r="D4" s="25">
        <v>0.1</v>
      </c>
      <c r="E4" s="47"/>
      <c r="F4" s="49"/>
      <c r="G4" s="49"/>
      <c r="H4" s="125"/>
      <c r="I4" s="130">
        <f>C4-SUM(E4:H4)</f>
        <v>24000</v>
      </c>
      <c r="J4" s="133">
        <v>24000</v>
      </c>
      <c r="K4" s="135">
        <v>24000</v>
      </c>
      <c r="L4" s="90" t="s">
        <v>96</v>
      </c>
    </row>
    <row r="5" spans="1:12" ht="30" customHeight="1" x14ac:dyDescent="0.2">
      <c r="A5" s="1" t="s">
        <v>5</v>
      </c>
      <c r="B5" s="26">
        <v>2625600</v>
      </c>
      <c r="C5" s="27">
        <f t="shared" si="0"/>
        <v>630144</v>
      </c>
      <c r="D5" s="28">
        <v>0.24</v>
      </c>
      <c r="E5" s="14">
        <v>445000</v>
      </c>
      <c r="F5" s="15"/>
      <c r="G5" s="15"/>
      <c r="H5" s="126"/>
      <c r="I5" s="130">
        <f t="shared" ref="I5:I22" si="1">C5-SUM(E5:H5)</f>
        <v>185144</v>
      </c>
      <c r="J5" s="133">
        <v>185144</v>
      </c>
      <c r="K5" s="135">
        <v>1379769.25</v>
      </c>
      <c r="L5" s="90"/>
    </row>
    <row r="6" spans="1:12" ht="30" customHeight="1" x14ac:dyDescent="0.2">
      <c r="A6" s="1" t="s">
        <v>13</v>
      </c>
      <c r="B6" s="26">
        <v>11793000</v>
      </c>
      <c r="C6" s="27">
        <f t="shared" si="0"/>
        <v>1886880</v>
      </c>
      <c r="D6" s="28">
        <v>0.16</v>
      </c>
      <c r="E6" s="14">
        <v>500880</v>
      </c>
      <c r="F6" s="15"/>
      <c r="G6" s="15"/>
      <c r="H6" s="126"/>
      <c r="I6" s="130">
        <f t="shared" si="1"/>
        <v>1386000</v>
      </c>
      <c r="J6" s="133">
        <v>1386000</v>
      </c>
      <c r="K6" s="135">
        <v>1386000</v>
      </c>
      <c r="L6" s="90"/>
    </row>
    <row r="7" spans="1:12" ht="30" customHeight="1" x14ac:dyDescent="0.2">
      <c r="A7" s="1" t="s">
        <v>14</v>
      </c>
      <c r="B7" s="29">
        <v>7637600</v>
      </c>
      <c r="C7" s="30">
        <f t="shared" si="0"/>
        <v>916512</v>
      </c>
      <c r="D7" s="28">
        <v>0.12</v>
      </c>
      <c r="E7" s="16">
        <v>200000</v>
      </c>
      <c r="F7" s="17"/>
      <c r="G7" s="17">
        <f>'Income analysis'!C5-'Central costs'!E16</f>
        <v>135567.9135</v>
      </c>
      <c r="H7" s="127"/>
      <c r="I7" s="130">
        <f>C7-E7</f>
        <v>716512</v>
      </c>
      <c r="J7" s="133">
        <v>716512</v>
      </c>
      <c r="K7" s="135">
        <v>7838671</v>
      </c>
      <c r="L7" s="90" t="s">
        <v>97</v>
      </c>
    </row>
    <row r="8" spans="1:12" ht="30" customHeight="1" x14ac:dyDescent="0.2">
      <c r="A8" s="1" t="s">
        <v>6</v>
      </c>
      <c r="B8" s="23">
        <v>840000</v>
      </c>
      <c r="C8" s="27">
        <f t="shared" si="0"/>
        <v>210000</v>
      </c>
      <c r="D8" s="28">
        <v>0.25</v>
      </c>
      <c r="E8" s="14">
        <v>80000</v>
      </c>
      <c r="F8" s="15"/>
      <c r="G8" s="15"/>
      <c r="H8" s="126">
        <v>69200</v>
      </c>
      <c r="I8" s="130">
        <f t="shared" si="1"/>
        <v>60800</v>
      </c>
      <c r="J8" s="133">
        <v>60800</v>
      </c>
      <c r="K8" s="135">
        <v>60800</v>
      </c>
      <c r="L8" s="90"/>
    </row>
    <row r="9" spans="1:12" ht="30" customHeight="1" x14ac:dyDescent="0.2">
      <c r="A9" s="1" t="s">
        <v>18</v>
      </c>
      <c r="B9" s="26">
        <v>5901200</v>
      </c>
      <c r="C9" s="27">
        <f t="shared" si="0"/>
        <v>885180</v>
      </c>
      <c r="D9" s="28">
        <v>0.15</v>
      </c>
      <c r="E9" s="14"/>
      <c r="F9" s="89">
        <v>272431</v>
      </c>
      <c r="G9" s="15"/>
      <c r="H9" s="126"/>
      <c r="I9" s="130">
        <f t="shared" si="1"/>
        <v>612749</v>
      </c>
      <c r="J9" s="133">
        <v>612749</v>
      </c>
      <c r="K9" s="135">
        <v>3158316.7</v>
      </c>
      <c r="L9" s="90"/>
    </row>
    <row r="10" spans="1:12" ht="30" customHeight="1" x14ac:dyDescent="0.2">
      <c r="A10" s="1" t="s">
        <v>7</v>
      </c>
      <c r="B10" s="26">
        <v>5680000</v>
      </c>
      <c r="C10" s="27">
        <f t="shared" si="0"/>
        <v>568000</v>
      </c>
      <c r="D10" s="28">
        <v>0.1</v>
      </c>
      <c r="E10" s="14">
        <v>300000</v>
      </c>
      <c r="F10" s="15"/>
      <c r="G10" s="15"/>
      <c r="H10" s="126"/>
      <c r="I10" s="130">
        <f t="shared" si="1"/>
        <v>268000</v>
      </c>
      <c r="J10" s="133">
        <v>268000</v>
      </c>
      <c r="K10" s="135">
        <v>268000</v>
      </c>
      <c r="L10" s="90"/>
    </row>
    <row r="11" spans="1:12" ht="30" customHeight="1" x14ac:dyDescent="0.2">
      <c r="A11" s="1" t="s">
        <v>21</v>
      </c>
      <c r="B11" s="26">
        <v>295200</v>
      </c>
      <c r="C11" s="27">
        <f t="shared" si="0"/>
        <v>73800</v>
      </c>
      <c r="D11" s="28">
        <v>0.25</v>
      </c>
      <c r="E11" s="14"/>
      <c r="F11" s="15"/>
      <c r="G11" s="15"/>
      <c r="H11" s="126"/>
      <c r="I11" s="130">
        <f t="shared" si="1"/>
        <v>73800</v>
      </c>
      <c r="J11" s="133">
        <v>73800</v>
      </c>
      <c r="K11" s="135">
        <v>73800</v>
      </c>
      <c r="L11" s="90"/>
    </row>
    <row r="12" spans="1:12" ht="30" customHeight="1" x14ac:dyDescent="0.2">
      <c r="A12" s="1" t="s">
        <v>8</v>
      </c>
      <c r="B12" s="26">
        <v>7257600</v>
      </c>
      <c r="C12" s="27">
        <f t="shared" si="0"/>
        <v>580608</v>
      </c>
      <c r="D12" s="28">
        <v>0.08</v>
      </c>
      <c r="E12" s="14">
        <v>325608</v>
      </c>
      <c r="F12" s="15"/>
      <c r="G12" s="15"/>
      <c r="H12" s="126"/>
      <c r="I12" s="130">
        <f t="shared" si="1"/>
        <v>255000</v>
      </c>
      <c r="J12" s="133">
        <v>255000</v>
      </c>
      <c r="K12" s="135">
        <v>255000</v>
      </c>
      <c r="L12" s="90"/>
    </row>
    <row r="13" spans="1:12" ht="30" customHeight="1" x14ac:dyDescent="0.2">
      <c r="A13" s="1" t="s">
        <v>11</v>
      </c>
      <c r="B13" s="26">
        <f>C13/D13</f>
        <v>3706666.666666667</v>
      </c>
      <c r="C13" s="27">
        <v>333600</v>
      </c>
      <c r="D13" s="28">
        <v>0.09</v>
      </c>
      <c r="E13" s="14">
        <v>165600</v>
      </c>
      <c r="F13" s="15"/>
      <c r="G13" s="15"/>
      <c r="H13" s="126"/>
      <c r="I13" s="130">
        <f t="shared" si="1"/>
        <v>168000</v>
      </c>
      <c r="J13" s="133">
        <v>168000</v>
      </c>
      <c r="K13" s="135">
        <v>168000</v>
      </c>
      <c r="L13" s="90"/>
    </row>
    <row r="14" spans="1:12" ht="30" customHeight="1" x14ac:dyDescent="0.2">
      <c r="A14" s="1" t="s">
        <v>32</v>
      </c>
      <c r="B14" s="26">
        <f>C14/D14</f>
        <v>5600000</v>
      </c>
      <c r="C14" s="27">
        <v>1400000</v>
      </c>
      <c r="D14" s="28">
        <v>0.25</v>
      </c>
      <c r="E14" s="14"/>
      <c r="F14" s="15"/>
      <c r="G14" s="15"/>
      <c r="H14" s="126"/>
      <c r="I14" s="130">
        <f t="shared" si="1"/>
        <v>1400000</v>
      </c>
      <c r="J14" s="133">
        <v>2400000</v>
      </c>
      <c r="K14" s="135">
        <v>3400000</v>
      </c>
      <c r="L14" s="90"/>
    </row>
    <row r="15" spans="1:12" ht="30" customHeight="1" x14ac:dyDescent="0.2">
      <c r="A15" s="1" t="s">
        <v>16</v>
      </c>
      <c r="B15" s="26"/>
      <c r="C15" s="27">
        <f>B15*D15</f>
        <v>0</v>
      </c>
      <c r="D15" s="28">
        <v>0.1</v>
      </c>
      <c r="E15" s="14"/>
      <c r="F15" s="15"/>
      <c r="G15" s="15"/>
      <c r="H15" s="126"/>
      <c r="I15" s="130">
        <v>50000</v>
      </c>
      <c r="J15" s="133">
        <v>50000</v>
      </c>
      <c r="K15" s="135">
        <v>50000</v>
      </c>
      <c r="L15" s="90" t="s">
        <v>70</v>
      </c>
    </row>
    <row r="16" spans="1:12" ht="30" customHeight="1" x14ac:dyDescent="0.2">
      <c r="A16" s="1" t="s">
        <v>17</v>
      </c>
      <c r="B16" s="26"/>
      <c r="C16" s="31" t="s">
        <v>24</v>
      </c>
      <c r="D16" s="32" t="s">
        <v>24</v>
      </c>
      <c r="E16" s="14"/>
      <c r="F16" s="15"/>
      <c r="G16" s="15"/>
      <c r="H16" s="126"/>
      <c r="I16" s="130">
        <v>0</v>
      </c>
      <c r="J16" s="133">
        <v>0</v>
      </c>
      <c r="K16" s="135">
        <v>0</v>
      </c>
      <c r="L16" s="90"/>
    </row>
    <row r="17" spans="1:13" ht="30" customHeight="1" x14ac:dyDescent="0.2">
      <c r="A17" s="1" t="s">
        <v>20</v>
      </c>
      <c r="B17" s="26">
        <v>6800000</v>
      </c>
      <c r="C17" s="27">
        <f>B17*D17</f>
        <v>1564000</v>
      </c>
      <c r="D17" s="28">
        <v>0.23</v>
      </c>
      <c r="E17" s="14"/>
      <c r="F17" s="15"/>
      <c r="G17" s="15"/>
      <c r="H17" s="126"/>
      <c r="I17" s="130">
        <f t="shared" si="1"/>
        <v>1564000</v>
      </c>
      <c r="J17" s="133">
        <v>1564000</v>
      </c>
      <c r="K17" s="135">
        <v>1564000</v>
      </c>
      <c r="L17" s="90"/>
    </row>
    <row r="18" spans="1:13" ht="30" customHeight="1" x14ac:dyDescent="0.25">
      <c r="A18" s="1" t="s">
        <v>9</v>
      </c>
      <c r="B18" s="26">
        <f>C18/D18</f>
        <v>2727500</v>
      </c>
      <c r="C18" s="27">
        <v>654600</v>
      </c>
      <c r="D18" s="28">
        <v>0.24</v>
      </c>
      <c r="E18" s="14">
        <v>454600</v>
      </c>
      <c r="F18" s="15"/>
      <c r="G18" s="15"/>
      <c r="H18" s="126"/>
      <c r="I18" s="130">
        <f t="shared" si="1"/>
        <v>200000</v>
      </c>
      <c r="J18" s="133">
        <v>200000</v>
      </c>
      <c r="K18" s="135">
        <v>200000</v>
      </c>
      <c r="L18" s="90"/>
    </row>
    <row r="19" spans="1:13" ht="30" customHeight="1" x14ac:dyDescent="0.25">
      <c r="A19" s="1" t="s">
        <v>12</v>
      </c>
      <c r="B19" s="26">
        <f>C19/D19</f>
        <v>1952200</v>
      </c>
      <c r="C19" s="27">
        <v>390440</v>
      </c>
      <c r="D19" s="28">
        <v>0.2</v>
      </c>
      <c r="E19" s="14">
        <v>290440</v>
      </c>
      <c r="F19" s="15"/>
      <c r="G19" s="15"/>
      <c r="H19" s="126"/>
      <c r="I19" s="130">
        <f t="shared" si="1"/>
        <v>100000</v>
      </c>
      <c r="J19" s="133">
        <v>100000</v>
      </c>
      <c r="K19" s="135">
        <f>100000+3838058</f>
        <v>3938058</v>
      </c>
      <c r="L19" s="90"/>
    </row>
    <row r="20" spans="1:13" ht="30" customHeight="1" x14ac:dyDescent="0.25">
      <c r="A20" s="1" t="s">
        <v>19</v>
      </c>
      <c r="B20" s="33"/>
      <c r="C20" s="34"/>
      <c r="D20" s="28"/>
      <c r="E20" s="16"/>
      <c r="F20" s="17"/>
      <c r="G20" s="17"/>
      <c r="H20" s="128">
        <f>180000/1.25</f>
        <v>144000</v>
      </c>
      <c r="I20" s="130">
        <v>0</v>
      </c>
      <c r="J20" s="133">
        <v>0</v>
      </c>
      <c r="K20" s="135">
        <v>0</v>
      </c>
      <c r="L20" s="90" t="s">
        <v>74</v>
      </c>
    </row>
    <row r="21" spans="1:13" ht="30" customHeight="1" x14ac:dyDescent="0.25">
      <c r="A21" s="1" t="s">
        <v>10</v>
      </c>
      <c r="B21" s="26">
        <v>2740000</v>
      </c>
      <c r="C21" s="27">
        <f>B21*D21</f>
        <v>520600</v>
      </c>
      <c r="D21" s="28">
        <v>0.19</v>
      </c>
      <c r="E21" s="14">
        <v>285600</v>
      </c>
      <c r="F21" s="15"/>
      <c r="G21" s="15"/>
      <c r="H21" s="126"/>
      <c r="I21" s="130">
        <f t="shared" si="1"/>
        <v>235000</v>
      </c>
      <c r="J21" s="133">
        <v>235000</v>
      </c>
      <c r="K21" s="135">
        <v>235000</v>
      </c>
      <c r="L21" s="90"/>
    </row>
    <row r="22" spans="1:13" ht="30" customHeight="1" x14ac:dyDescent="0.25">
      <c r="A22" s="1" t="s">
        <v>71</v>
      </c>
      <c r="B22" s="26">
        <v>2640000</v>
      </c>
      <c r="C22" s="30">
        <f>B22*D22</f>
        <v>501600</v>
      </c>
      <c r="D22" s="28">
        <v>0.19</v>
      </c>
      <c r="E22" s="14">
        <v>107000</v>
      </c>
      <c r="F22" s="15"/>
      <c r="G22" s="15"/>
      <c r="H22" s="126"/>
      <c r="I22" s="130">
        <f t="shared" si="1"/>
        <v>394600</v>
      </c>
      <c r="J22" s="133">
        <v>394600</v>
      </c>
      <c r="K22" s="135">
        <v>394600</v>
      </c>
      <c r="L22" s="90"/>
    </row>
    <row r="23" spans="1:13" ht="30" customHeight="1" x14ac:dyDescent="0.25">
      <c r="A23" s="1" t="s">
        <v>87</v>
      </c>
      <c r="B23" s="26">
        <v>4000000</v>
      </c>
      <c r="C23" s="30">
        <v>920000</v>
      </c>
      <c r="D23" s="28">
        <f>C23/B23</f>
        <v>0.23</v>
      </c>
      <c r="E23" s="14"/>
      <c r="F23" s="14"/>
      <c r="G23" s="15"/>
      <c r="H23" s="126"/>
      <c r="I23" s="130"/>
      <c r="J23" s="133">
        <f>C23</f>
        <v>920000</v>
      </c>
      <c r="K23" s="135">
        <f>C23</f>
        <v>920000</v>
      </c>
      <c r="L23" s="90"/>
    </row>
    <row r="24" spans="1:13" ht="30" customHeight="1" thickBot="1" x14ac:dyDescent="0.3">
      <c r="A24" s="137" t="s">
        <v>88</v>
      </c>
      <c r="B24" s="138">
        <v>4705600</v>
      </c>
      <c r="C24" s="139">
        <v>1082288</v>
      </c>
      <c r="D24" s="140">
        <f>C24/B24</f>
        <v>0.23</v>
      </c>
      <c r="E24" s="141"/>
      <c r="F24" s="141"/>
      <c r="G24" s="142"/>
      <c r="H24" s="143"/>
      <c r="I24" s="144"/>
      <c r="J24" s="145">
        <f>C24</f>
        <v>1082288</v>
      </c>
      <c r="K24" s="146">
        <f>C24</f>
        <v>1082288</v>
      </c>
      <c r="L24" s="147"/>
    </row>
    <row r="25" spans="1:13" ht="30" customHeight="1" thickBot="1" x14ac:dyDescent="0.3">
      <c r="A25" s="8" t="s">
        <v>25</v>
      </c>
      <c r="B25" s="35">
        <f>SUM(B4:B24)</f>
        <v>77142166.666666657</v>
      </c>
      <c r="C25" s="36">
        <f>SUM(C4:C24)</f>
        <v>13142252</v>
      </c>
      <c r="D25" s="37">
        <f>C25/B25</f>
        <v>0.1703640507893435</v>
      </c>
      <c r="E25" s="18">
        <f>SUM(E4:E22)</f>
        <v>3154728</v>
      </c>
      <c r="F25" s="19">
        <f>SUM(F4:F22)</f>
        <v>272431</v>
      </c>
      <c r="G25" s="20">
        <f>SUM(G4:G22)</f>
        <v>135567.9135</v>
      </c>
      <c r="H25" s="129">
        <f>SUM(H4:H22)</f>
        <v>213200</v>
      </c>
      <c r="I25" s="131">
        <f>SUM(I4:I24)</f>
        <v>7693605</v>
      </c>
      <c r="J25" s="134">
        <f>SUM(J4:J24)</f>
        <v>10695893</v>
      </c>
      <c r="K25" s="136">
        <f>SUM(K4:K24)</f>
        <v>26396302.949999999</v>
      </c>
      <c r="L25" s="91"/>
      <c r="M25" s="6"/>
    </row>
    <row r="26" spans="1:13" ht="37.5" customHeight="1" x14ac:dyDescent="0.25">
      <c r="M26" s="2"/>
    </row>
    <row r="27" spans="1:13" x14ac:dyDescent="0.25">
      <c r="C27" s="21"/>
    </row>
    <row r="28" spans="1:13" x14ac:dyDescent="0.25">
      <c r="M28" s="2"/>
    </row>
    <row r="29" spans="1:13" x14ac:dyDescent="0.25">
      <c r="D29" s="11"/>
    </row>
    <row r="30" spans="1:13" x14ac:dyDescent="0.25">
      <c r="E30" s="22"/>
      <c r="F30" s="22"/>
    </row>
  </sheetData>
  <autoFilter ref="A1:I26"/>
  <mergeCells count="6">
    <mergeCell ref="L2:L3"/>
    <mergeCell ref="A2:A3"/>
    <mergeCell ref="B2:B3"/>
    <mergeCell ref="C2:C3"/>
    <mergeCell ref="D2:D3"/>
    <mergeCell ref="E2:K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90" zoomScaleNormal="90" zoomScalePageLayoutView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8.85546875" defaultRowHeight="15" x14ac:dyDescent="0.25"/>
  <cols>
    <col min="1" max="1" width="19.28515625" style="10" customWidth="1"/>
    <col min="2" max="6" width="13.7109375" style="39" customWidth="1"/>
    <col min="7" max="9" width="13.85546875" style="39" customWidth="1"/>
    <col min="10" max="10" width="14.7109375" style="39" customWidth="1"/>
    <col min="11" max="11" width="70.42578125" style="39" customWidth="1"/>
    <col min="12" max="16384" width="8.85546875" style="10"/>
  </cols>
  <sheetData>
    <row r="1" spans="1:11" ht="30" customHeight="1" x14ac:dyDescent="0.25">
      <c r="A1" s="178" t="s">
        <v>0</v>
      </c>
      <c r="B1" s="180" t="s">
        <v>29</v>
      </c>
      <c r="C1" s="182" t="s">
        <v>23</v>
      </c>
      <c r="D1" s="183"/>
      <c r="E1" s="183"/>
      <c r="F1" s="183"/>
      <c r="G1" s="183"/>
      <c r="H1" s="183"/>
      <c r="I1" s="183"/>
      <c r="J1" s="184"/>
      <c r="K1" s="104"/>
    </row>
    <row r="2" spans="1:11" ht="30" customHeight="1" thickBot="1" x14ac:dyDescent="0.3">
      <c r="A2" s="179"/>
      <c r="B2" s="181"/>
      <c r="C2" s="69" t="s">
        <v>1</v>
      </c>
      <c r="D2" s="70" t="s">
        <v>2</v>
      </c>
      <c r="E2" s="7" t="s">
        <v>30</v>
      </c>
      <c r="F2" s="7" t="s">
        <v>49</v>
      </c>
      <c r="G2" s="7" t="s">
        <v>4</v>
      </c>
      <c r="H2" s="7" t="s">
        <v>34</v>
      </c>
      <c r="I2" s="7" t="s">
        <v>33</v>
      </c>
      <c r="J2" s="108" t="s">
        <v>81</v>
      </c>
      <c r="K2" s="38" t="s">
        <v>31</v>
      </c>
    </row>
    <row r="3" spans="1:11" ht="30" customHeight="1" x14ac:dyDescent="0.2">
      <c r="A3" s="42" t="s">
        <v>98</v>
      </c>
      <c r="B3" s="148">
        <v>25000</v>
      </c>
      <c r="C3" s="71"/>
      <c r="D3" s="72"/>
      <c r="E3" s="40"/>
      <c r="F3" s="40"/>
      <c r="G3" s="40"/>
      <c r="H3" s="40"/>
      <c r="I3" s="40"/>
      <c r="J3" s="109">
        <v>25000</v>
      </c>
      <c r="K3" s="105"/>
    </row>
    <row r="4" spans="1:11" ht="30" customHeight="1" thickBot="1" x14ac:dyDescent="0.25">
      <c r="A4" s="43" t="s">
        <v>40</v>
      </c>
      <c r="B4" s="149">
        <v>20000</v>
      </c>
      <c r="C4" s="73"/>
      <c r="D4" s="74"/>
      <c r="E4" s="41"/>
      <c r="F4" s="41"/>
      <c r="G4" s="41"/>
      <c r="H4" s="41"/>
      <c r="I4" s="41"/>
      <c r="J4" s="110">
        <v>20000</v>
      </c>
      <c r="K4" s="106"/>
    </row>
    <row r="5" spans="1:11" ht="30" customHeight="1" thickBot="1" x14ac:dyDescent="0.25">
      <c r="A5" s="45" t="s">
        <v>25</v>
      </c>
      <c r="B5" s="46">
        <f t="shared" ref="B5:J5" si="0">SUM(B3:B4)</f>
        <v>45000</v>
      </c>
      <c r="C5" s="75">
        <f t="shared" si="0"/>
        <v>0</v>
      </c>
      <c r="D5" s="44">
        <f t="shared" si="0"/>
        <v>0</v>
      </c>
      <c r="E5" s="44">
        <f t="shared" si="0"/>
        <v>0</v>
      </c>
      <c r="F5" s="44">
        <f t="shared" si="0"/>
        <v>0</v>
      </c>
      <c r="G5" s="44">
        <f t="shared" si="0"/>
        <v>0</v>
      </c>
      <c r="H5" s="44">
        <f t="shared" si="0"/>
        <v>0</v>
      </c>
      <c r="I5" s="44">
        <f t="shared" si="0"/>
        <v>0</v>
      </c>
      <c r="J5" s="111">
        <f t="shared" si="0"/>
        <v>45000</v>
      </c>
      <c r="K5" s="107"/>
    </row>
  </sheetData>
  <mergeCells count="3">
    <mergeCell ref="A1:A2"/>
    <mergeCell ref="B1:B2"/>
    <mergeCell ref="C1:J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workbookViewId="0">
      <selection sqref="A1:A2"/>
    </sheetView>
  </sheetViews>
  <sheetFormatPr defaultColWidth="8.85546875" defaultRowHeight="15" x14ac:dyDescent="0.25"/>
  <cols>
    <col min="1" max="1" width="36.28515625" bestFit="1" customWidth="1"/>
    <col min="2" max="2" width="14.7109375" style="6" customWidth="1"/>
    <col min="3" max="3" width="9.85546875" customWidth="1"/>
    <col min="8" max="9" width="8.85546875" style="48"/>
    <col min="10" max="12" width="15.28515625" style="48" customWidth="1"/>
    <col min="13" max="13" width="53.28515625" style="9" customWidth="1"/>
  </cols>
  <sheetData>
    <row r="1" spans="1:13" x14ac:dyDescent="0.25">
      <c r="A1" s="187"/>
      <c r="B1" s="189" t="s">
        <v>90</v>
      </c>
      <c r="C1" s="185" t="s">
        <v>23</v>
      </c>
      <c r="D1" s="186"/>
      <c r="E1" s="186"/>
      <c r="F1" s="186"/>
      <c r="G1" s="186"/>
      <c r="H1" s="186"/>
      <c r="I1" s="186"/>
      <c r="J1" s="88"/>
      <c r="K1" s="88"/>
      <c r="L1" s="88"/>
      <c r="M1" s="54"/>
    </row>
    <row r="2" spans="1:13" ht="30.75" thickBot="1" x14ac:dyDescent="0.3">
      <c r="A2" s="188"/>
      <c r="B2" s="190"/>
      <c r="C2" s="120" t="s">
        <v>1</v>
      </c>
      <c r="D2" s="121" t="s">
        <v>2</v>
      </c>
      <c r="E2" s="121" t="s">
        <v>30</v>
      </c>
      <c r="F2" s="121" t="s">
        <v>3</v>
      </c>
      <c r="G2" s="121" t="s">
        <v>4</v>
      </c>
      <c r="H2" s="122" t="s">
        <v>34</v>
      </c>
      <c r="I2" s="122" t="s">
        <v>33</v>
      </c>
      <c r="J2" s="121" t="s">
        <v>83</v>
      </c>
      <c r="K2" s="121" t="s">
        <v>82</v>
      </c>
      <c r="L2" s="123" t="s">
        <v>84</v>
      </c>
      <c r="M2" s="55" t="s">
        <v>31</v>
      </c>
    </row>
    <row r="3" spans="1:13" ht="40.5" customHeight="1" x14ac:dyDescent="0.2">
      <c r="A3" s="56" t="s">
        <v>26</v>
      </c>
      <c r="B3" s="57">
        <v>1895256.600075</v>
      </c>
      <c r="C3" s="58">
        <v>1057751.1006</v>
      </c>
      <c r="D3" s="59">
        <v>26323.14</v>
      </c>
      <c r="E3" s="59">
        <v>49176.886500000001</v>
      </c>
      <c r="F3" s="59">
        <v>50487.412499999999</v>
      </c>
      <c r="G3" s="59">
        <v>0</v>
      </c>
      <c r="H3" s="59">
        <v>0</v>
      </c>
      <c r="I3" s="59">
        <v>21557.721500000003</v>
      </c>
      <c r="J3" s="112">
        <f>B3-SUM(C3:I3)</f>
        <v>689960.33897499996</v>
      </c>
      <c r="K3" s="113">
        <v>966228.48287500022</v>
      </c>
      <c r="L3" s="114">
        <v>1015405.3693750002</v>
      </c>
      <c r="M3" s="60"/>
    </row>
    <row r="4" spans="1:13" ht="64.5" customHeight="1" x14ac:dyDescent="0.2">
      <c r="A4" s="61" t="s">
        <v>76</v>
      </c>
      <c r="B4" s="62">
        <f>(33*3000*3)+(10*3*3000)</f>
        <v>387000</v>
      </c>
      <c r="C4" s="63">
        <v>186221.86925099517</v>
      </c>
      <c r="D4" s="64">
        <v>10000</v>
      </c>
      <c r="E4" s="64">
        <v>12000</v>
      </c>
      <c r="F4" s="64">
        <v>31513</v>
      </c>
      <c r="G4" s="64">
        <v>0</v>
      </c>
      <c r="H4" s="64">
        <v>0</v>
      </c>
      <c r="I4" s="64">
        <v>0</v>
      </c>
      <c r="J4" s="115">
        <f t="shared" ref="J4:J14" si="0">B4-SUM(C4:I4)</f>
        <v>147265.13074900483</v>
      </c>
      <c r="K4" s="116">
        <f>147265.130749005+3000*5*3+3000*1*3+3000*2</f>
        <v>207265.13074900501</v>
      </c>
      <c r="L4" s="117">
        <f>J4+3*3000*6+1*3000*3+3000*2</f>
        <v>216265.13074900483</v>
      </c>
      <c r="M4" s="65" t="s">
        <v>79</v>
      </c>
    </row>
    <row r="5" spans="1:13" ht="64.5" customHeight="1" x14ac:dyDescent="0.2">
      <c r="A5" s="61" t="s">
        <v>99</v>
      </c>
      <c r="B5" s="62">
        <f>3000*33</f>
        <v>99000</v>
      </c>
      <c r="C5" s="63"/>
      <c r="D5" s="64"/>
      <c r="E5" s="64"/>
      <c r="F5" s="64"/>
      <c r="G5" s="64"/>
      <c r="H5" s="64"/>
      <c r="I5" s="64"/>
      <c r="J5" s="115">
        <f t="shared" si="0"/>
        <v>99000</v>
      </c>
      <c r="K5" s="116">
        <f>99000+3000*6</f>
        <v>117000</v>
      </c>
      <c r="L5" s="117">
        <f>J5+3000*7</f>
        <v>120000</v>
      </c>
      <c r="M5" s="65" t="s">
        <v>64</v>
      </c>
    </row>
    <row r="6" spans="1:13" s="48" customFormat="1" ht="64.5" customHeight="1" x14ac:dyDescent="0.2">
      <c r="A6" s="61" t="s">
        <v>75</v>
      </c>
      <c r="B6" s="62">
        <f>6*5000</f>
        <v>30000</v>
      </c>
      <c r="C6" s="63"/>
      <c r="D6" s="64"/>
      <c r="E6" s="64"/>
      <c r="F6" s="64"/>
      <c r="G6" s="64"/>
      <c r="H6" s="64"/>
      <c r="I6" s="64"/>
      <c r="J6" s="115">
        <f t="shared" si="0"/>
        <v>30000</v>
      </c>
      <c r="K6" s="116">
        <v>33000</v>
      </c>
      <c r="L6" s="117">
        <v>33000</v>
      </c>
      <c r="M6" s="65"/>
    </row>
    <row r="7" spans="1:13" s="48" customFormat="1" ht="64.5" customHeight="1" x14ac:dyDescent="0.2">
      <c r="A7" s="61" t="s">
        <v>77</v>
      </c>
      <c r="B7" s="62">
        <v>50000</v>
      </c>
      <c r="C7" s="63"/>
      <c r="D7" s="64"/>
      <c r="E7" s="64"/>
      <c r="F7" s="64"/>
      <c r="G7" s="64"/>
      <c r="H7" s="64"/>
      <c r="I7" s="64"/>
      <c r="J7" s="115">
        <f t="shared" si="0"/>
        <v>50000</v>
      </c>
      <c r="K7" s="116">
        <v>50000</v>
      </c>
      <c r="L7" s="117">
        <v>50000</v>
      </c>
      <c r="M7" s="65" t="s">
        <v>78</v>
      </c>
    </row>
    <row r="8" spans="1:13" ht="76.5" customHeight="1" x14ac:dyDescent="0.2">
      <c r="A8" s="61" t="s">
        <v>100</v>
      </c>
      <c r="B8" s="62">
        <v>7000</v>
      </c>
      <c r="C8" s="63"/>
      <c r="D8" s="64"/>
      <c r="E8" s="64"/>
      <c r="F8" s="64"/>
      <c r="G8" s="64"/>
      <c r="H8" s="64"/>
      <c r="I8" s="64"/>
      <c r="J8" s="115">
        <f t="shared" si="0"/>
        <v>7000</v>
      </c>
      <c r="K8" s="116">
        <v>10000</v>
      </c>
      <c r="L8" s="117">
        <v>10000</v>
      </c>
      <c r="M8" s="65" t="s">
        <v>65</v>
      </c>
    </row>
    <row r="9" spans="1:13" ht="52.5" customHeight="1" x14ac:dyDescent="0.2">
      <c r="A9" s="61" t="s">
        <v>41</v>
      </c>
      <c r="B9" s="62">
        <v>5000</v>
      </c>
      <c r="C9" s="63"/>
      <c r="D9" s="64"/>
      <c r="E9" s="64"/>
      <c r="F9" s="64"/>
      <c r="G9" s="64"/>
      <c r="H9" s="64"/>
      <c r="I9" s="64"/>
      <c r="J9" s="115">
        <f t="shared" si="0"/>
        <v>5000</v>
      </c>
      <c r="K9" s="116">
        <v>6000</v>
      </c>
      <c r="L9" s="117">
        <v>6000</v>
      </c>
      <c r="M9" s="65" t="s">
        <v>66</v>
      </c>
    </row>
    <row r="10" spans="1:13" ht="40.5" customHeight="1" x14ac:dyDescent="0.2">
      <c r="A10" s="61" t="s">
        <v>27</v>
      </c>
      <c r="B10" s="62">
        <v>50000</v>
      </c>
      <c r="C10" s="63"/>
      <c r="D10" s="64"/>
      <c r="E10" s="64"/>
      <c r="F10" s="66"/>
      <c r="G10" s="64"/>
      <c r="H10" s="64"/>
      <c r="I10" s="64"/>
      <c r="J10" s="115">
        <f t="shared" si="0"/>
        <v>50000</v>
      </c>
      <c r="K10" s="116">
        <v>60000</v>
      </c>
      <c r="L10" s="117">
        <v>65000</v>
      </c>
      <c r="M10" s="65" t="s">
        <v>67</v>
      </c>
    </row>
    <row r="11" spans="1:13" ht="40.5" customHeight="1" x14ac:dyDescent="0.25">
      <c r="A11" s="61" t="s">
        <v>28</v>
      </c>
      <c r="B11" s="62">
        <f>4*3000+2500*2</f>
        <v>17000</v>
      </c>
      <c r="C11" s="63"/>
      <c r="D11" s="64"/>
      <c r="E11" s="64"/>
      <c r="F11" s="64"/>
      <c r="G11" s="64"/>
      <c r="H11" s="64"/>
      <c r="I11" s="64"/>
      <c r="J11" s="115">
        <f t="shared" si="0"/>
        <v>17000</v>
      </c>
      <c r="K11" s="116">
        <v>18000</v>
      </c>
      <c r="L11" s="117">
        <v>18000</v>
      </c>
      <c r="M11" s="65" t="s">
        <v>37</v>
      </c>
    </row>
    <row r="12" spans="1:13" ht="40.5" customHeight="1" x14ac:dyDescent="0.25">
      <c r="A12" s="61" t="s">
        <v>69</v>
      </c>
      <c r="B12" s="62">
        <v>30000</v>
      </c>
      <c r="C12" s="63"/>
      <c r="D12" s="64"/>
      <c r="E12" s="64"/>
      <c r="F12" s="64"/>
      <c r="G12" s="64"/>
      <c r="H12" s="64"/>
      <c r="I12" s="64"/>
      <c r="J12" s="115">
        <f t="shared" si="0"/>
        <v>30000</v>
      </c>
      <c r="K12" s="116">
        <v>50000</v>
      </c>
      <c r="L12" s="117">
        <v>50000</v>
      </c>
      <c r="M12" s="65"/>
    </row>
    <row r="13" spans="1:13" ht="46.5" customHeight="1" x14ac:dyDescent="0.25">
      <c r="A13" s="61" t="s">
        <v>50</v>
      </c>
      <c r="B13" s="62">
        <v>64000</v>
      </c>
      <c r="C13" s="67"/>
      <c r="D13" s="68"/>
      <c r="E13" s="64">
        <v>44000</v>
      </c>
      <c r="F13" s="64">
        <v>20000</v>
      </c>
      <c r="G13" s="68"/>
      <c r="H13" s="68"/>
      <c r="I13" s="68"/>
      <c r="J13" s="115">
        <f t="shared" si="0"/>
        <v>0</v>
      </c>
      <c r="K13" s="116">
        <v>0</v>
      </c>
      <c r="L13" s="117">
        <v>0</v>
      </c>
      <c r="M13" s="65" t="s">
        <v>68</v>
      </c>
    </row>
    <row r="14" spans="1:13" ht="33.75" customHeight="1" x14ac:dyDescent="0.25">
      <c r="A14" s="61" t="s">
        <v>91</v>
      </c>
      <c r="B14" s="62">
        <v>50000</v>
      </c>
      <c r="C14" s="150"/>
      <c r="D14" s="151"/>
      <c r="E14" s="151"/>
      <c r="F14" s="151"/>
      <c r="G14" s="151"/>
      <c r="H14" s="151"/>
      <c r="I14" s="151"/>
      <c r="J14" s="115">
        <f t="shared" si="0"/>
        <v>50000</v>
      </c>
      <c r="K14" s="116">
        <v>50000</v>
      </c>
      <c r="L14" s="117">
        <v>50000</v>
      </c>
      <c r="M14" s="65"/>
    </row>
    <row r="15" spans="1:13" s="48" customFormat="1" ht="33.75" customHeight="1" thickBot="1" x14ac:dyDescent="0.3">
      <c r="A15" s="152" t="s">
        <v>85</v>
      </c>
      <c r="B15" s="153">
        <v>250000</v>
      </c>
      <c r="C15" s="154"/>
      <c r="D15" s="154"/>
      <c r="E15" s="154"/>
      <c r="F15" s="154"/>
      <c r="G15" s="154"/>
      <c r="H15" s="154"/>
      <c r="I15" s="154"/>
      <c r="J15" s="155">
        <v>250000</v>
      </c>
      <c r="K15" s="156">
        <v>250000</v>
      </c>
      <c r="L15" s="157">
        <v>250000</v>
      </c>
      <c r="M15" s="158" t="s">
        <v>101</v>
      </c>
    </row>
    <row r="16" spans="1:13" s="3" customFormat="1" ht="29.25" customHeight="1" thickBot="1" x14ac:dyDescent="0.3">
      <c r="A16" s="92" t="s">
        <v>42</v>
      </c>
      <c r="B16" s="93">
        <f>SUM(B3:B15)</f>
        <v>2934256.600075</v>
      </c>
      <c r="C16" s="94">
        <f t="shared" ref="C16:I16" si="1">SUM(C3:C14)</f>
        <v>1243972.9698509951</v>
      </c>
      <c r="D16" s="94">
        <f t="shared" si="1"/>
        <v>36323.14</v>
      </c>
      <c r="E16" s="94">
        <f t="shared" si="1"/>
        <v>105176.88649999999</v>
      </c>
      <c r="F16" s="94">
        <f t="shared" si="1"/>
        <v>102000.41250000001</v>
      </c>
      <c r="G16" s="94">
        <f t="shared" si="1"/>
        <v>0</v>
      </c>
      <c r="H16" s="94">
        <f t="shared" si="1"/>
        <v>0</v>
      </c>
      <c r="I16" s="94">
        <f t="shared" si="1"/>
        <v>21557.721500000003</v>
      </c>
      <c r="J16" s="118">
        <f>SUM(J3:J15)</f>
        <v>1425225.4697240049</v>
      </c>
      <c r="K16" s="119">
        <f>SUM(K3:K15)</f>
        <v>1817493.6136240051</v>
      </c>
      <c r="L16" s="124">
        <f>SUM(L3:L15)</f>
        <v>1883670.5001240051</v>
      </c>
      <c r="M16" s="95"/>
    </row>
    <row r="17" spans="3:12" x14ac:dyDescent="0.25"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3:12" x14ac:dyDescent="0.25">
      <c r="C18" s="4"/>
      <c r="D18" s="4"/>
      <c r="E18" s="4"/>
      <c r="F18" s="4"/>
      <c r="G18" s="4"/>
      <c r="H18" s="4"/>
      <c r="I18" s="4"/>
      <c r="J18" s="4"/>
      <c r="K18" s="167"/>
      <c r="L18" s="167"/>
    </row>
    <row r="19" spans="3:12" x14ac:dyDescent="0.2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3:12" x14ac:dyDescent="0.25"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3:12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3:12" x14ac:dyDescent="0.25"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3:12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3:12" x14ac:dyDescent="0.25"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3:12" x14ac:dyDescent="0.25"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3:12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3:12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3:12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3:12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3:12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2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3:12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3:12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</row>
  </sheetData>
  <mergeCells count="3">
    <mergeCell ref="C1:I1"/>
    <mergeCell ref="A1:A2"/>
    <mergeCell ref="B1:B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Income analysis</vt:lpstr>
      <vt:lpstr>Implementation</vt:lpstr>
      <vt:lpstr>Research</vt:lpstr>
      <vt:lpstr>Central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2016-11-18T10:57:59Z</dcterms:created>
  <dcterms:modified xsi:type="dcterms:W3CDTF">2016-11-18T10:58:05Z</dcterms:modified>
</cp:coreProperties>
</file>