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filterPrivacy="1" autoCompressPictures="0"/>
  <bookViews>
    <workbookView xWindow="0" yWindow="0" windowWidth="25520" windowHeight="15600" activeTab="2"/>
  </bookViews>
  <sheets>
    <sheet name="Deworming wishlist" sheetId="1" r:id="rId1"/>
    <sheet name="GW summary of funding gaps" sheetId="9" r:id="rId2"/>
    <sheet name="GiveWell ranking" sheetId="10" r:id="rId3"/>
    <sheet name="Nigeria - four states" sheetId="11" r:id="rId4"/>
    <sheet name="Nigeria - Benue" sheetId="12" r:id="rId5"/>
    <sheet name="Guinea Bissau" sheetId="8" r:id="rId6"/>
    <sheet name="DRC" sheetId="2" r:id="rId7"/>
    <sheet name="South Sudan" sheetId="3" r:id="rId8"/>
    <sheet name="Cameroon" sheetId="4" r:id="rId9"/>
    <sheet name="Guinea" sheetId="5" r:id="rId10"/>
    <sheet name="Cote d'Ivoire" sheetId="6" r:id="rId11"/>
  </sheet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22" i="10" l="1"/>
  <c r="D23" i="10"/>
  <c r="D24" i="10"/>
  <c r="D25" i="10"/>
  <c r="D26" i="10"/>
  <c r="D27" i="10"/>
  <c r="D28" i="10"/>
  <c r="D29" i="10"/>
  <c r="D30" i="10"/>
  <c r="D31" i="10"/>
  <c r="D32" i="10"/>
  <c r="D33" i="10"/>
  <c r="D34" i="10"/>
  <c r="D35" i="10"/>
  <c r="D36" i="10"/>
  <c r="C23" i="10"/>
  <c r="C24" i="10"/>
  <c r="C25" i="10"/>
  <c r="C26" i="10"/>
  <c r="C27" i="10"/>
  <c r="C28" i="10"/>
  <c r="C29" i="10"/>
  <c r="C30" i="10"/>
  <c r="C31" i="10"/>
  <c r="C32" i="10"/>
  <c r="C33" i="10"/>
  <c r="C34" i="10"/>
  <c r="C35" i="10"/>
  <c r="C36" i="10"/>
  <c r="C22" i="10"/>
  <c r="D5" i="10"/>
  <c r="D6" i="10"/>
  <c r="D7" i="10"/>
  <c r="D8" i="10"/>
  <c r="D9" i="10"/>
  <c r="D10" i="10"/>
  <c r="D11" i="10"/>
  <c r="D12" i="10"/>
  <c r="D13" i="10"/>
  <c r="D14" i="10"/>
  <c r="D15" i="10"/>
  <c r="D16" i="10"/>
  <c r="D4" i="10"/>
  <c r="C3" i="10"/>
  <c r="D3" i="10"/>
  <c r="C7" i="10"/>
  <c r="C4" i="10"/>
  <c r="C5" i="10"/>
  <c r="C6" i="10"/>
  <c r="C8" i="10"/>
  <c r="C9" i="10"/>
  <c r="C10" i="10"/>
  <c r="C11" i="10"/>
  <c r="C12" i="10"/>
  <c r="C13" i="10"/>
  <c r="C14" i="10"/>
  <c r="C15" i="10"/>
  <c r="C16" i="10"/>
  <c r="U5" i="9"/>
  <c r="T5" i="9"/>
  <c r="I5" i="9"/>
  <c r="F5" i="9"/>
  <c r="C5" i="9"/>
  <c r="W5" i="9"/>
  <c r="S5" i="9"/>
  <c r="K5" i="9"/>
  <c r="H5" i="9"/>
  <c r="E5" i="9"/>
  <c r="E4" i="9"/>
  <c r="G29" i="12"/>
  <c r="E29" i="12"/>
  <c r="F29" i="12"/>
  <c r="D29" i="12"/>
  <c r="N18" i="12"/>
  <c r="D6" i="12"/>
  <c r="D7" i="12"/>
  <c r="D8" i="12"/>
  <c r="D9" i="12"/>
  <c r="D10" i="12"/>
  <c r="D11" i="12"/>
  <c r="D12" i="12"/>
  <c r="D13" i="12"/>
  <c r="D14" i="12"/>
  <c r="D15" i="12"/>
  <c r="D16" i="12"/>
  <c r="D20" i="12"/>
  <c r="D21" i="12"/>
  <c r="D22" i="12"/>
  <c r="D23" i="12"/>
  <c r="D24" i="12"/>
  <c r="D25" i="12"/>
  <c r="D26" i="12"/>
  <c r="D27" i="12"/>
  <c r="D28" i="12"/>
  <c r="E6" i="12"/>
  <c r="E7" i="12"/>
  <c r="E8" i="12"/>
  <c r="E9" i="12"/>
  <c r="E10" i="12"/>
  <c r="E11" i="12"/>
  <c r="E12" i="12"/>
  <c r="E13" i="12"/>
  <c r="E14" i="12"/>
  <c r="E15" i="12"/>
  <c r="E16" i="12"/>
  <c r="E20" i="12"/>
  <c r="E21" i="12"/>
  <c r="E23" i="12"/>
  <c r="E24" i="12"/>
  <c r="E25" i="12"/>
  <c r="E26" i="12"/>
  <c r="E28" i="12"/>
  <c r="F6" i="12"/>
  <c r="F7" i="12"/>
  <c r="F8" i="12"/>
  <c r="F9" i="12"/>
  <c r="F10" i="12"/>
  <c r="F11" i="12"/>
  <c r="F12" i="12"/>
  <c r="F13" i="12"/>
  <c r="F14" i="12"/>
  <c r="F15" i="12"/>
  <c r="F16" i="12"/>
  <c r="F17" i="12"/>
  <c r="F18" i="12"/>
  <c r="F19" i="12"/>
  <c r="F20" i="12"/>
  <c r="F21" i="12"/>
  <c r="F23" i="12"/>
  <c r="F24" i="12"/>
  <c r="F25" i="12"/>
  <c r="F26" i="12"/>
  <c r="F28" i="12"/>
  <c r="G28" i="12"/>
  <c r="G27" i="12"/>
  <c r="G26" i="12"/>
  <c r="G25" i="12"/>
  <c r="G24" i="12"/>
  <c r="G23" i="12"/>
  <c r="G22" i="12"/>
  <c r="G21" i="12"/>
  <c r="G20" i="12"/>
  <c r="G19" i="12"/>
  <c r="G18" i="12"/>
  <c r="G17" i="12"/>
  <c r="G16" i="12"/>
  <c r="G15" i="12"/>
  <c r="G14" i="12"/>
  <c r="G13" i="12"/>
  <c r="G12" i="12"/>
  <c r="K5" i="12"/>
  <c r="G9" i="12"/>
  <c r="K6" i="12"/>
  <c r="G6" i="12"/>
  <c r="G7" i="12"/>
  <c r="G8" i="12"/>
  <c r="G10" i="12"/>
  <c r="K7" i="12"/>
  <c r="K8" i="12"/>
  <c r="G11" i="12"/>
  <c r="K9" i="12"/>
  <c r="K11" i="12"/>
  <c r="K12" i="12"/>
  <c r="E9" i="9"/>
  <c r="H9" i="9"/>
  <c r="K9" i="9"/>
  <c r="N9" i="9"/>
  <c r="Q9" i="9"/>
  <c r="S9" i="9"/>
  <c r="E8" i="9"/>
  <c r="H8" i="9"/>
  <c r="K8" i="9"/>
  <c r="N8" i="9"/>
  <c r="Q8" i="9"/>
  <c r="S8" i="9"/>
  <c r="W8" i="9"/>
  <c r="P10" i="2"/>
  <c r="D52" i="11"/>
  <c r="H4" i="9"/>
  <c r="W4" i="9"/>
  <c r="H3" i="9"/>
  <c r="E3" i="9"/>
  <c r="W3" i="9"/>
  <c r="H6" i="9"/>
  <c r="E6" i="9"/>
  <c r="W6" i="9"/>
  <c r="W9" i="9"/>
  <c r="E7" i="9"/>
  <c r="H7" i="9"/>
  <c r="K7" i="9"/>
  <c r="S7" i="9"/>
  <c r="K4" i="9"/>
  <c r="S4" i="9"/>
  <c r="K3" i="9"/>
  <c r="N3" i="9"/>
  <c r="Q3" i="9"/>
  <c r="S3" i="9"/>
  <c r="K6" i="9"/>
  <c r="N6" i="9"/>
  <c r="Q6" i="9"/>
  <c r="S6" i="9"/>
  <c r="E16" i="9"/>
  <c r="S16" i="9"/>
  <c r="E15" i="9"/>
  <c r="S15" i="9"/>
  <c r="D17" i="10"/>
  <c r="C17" i="10"/>
  <c r="C16" i="9"/>
  <c r="D16" i="9"/>
  <c r="T16" i="9"/>
  <c r="U16" i="9"/>
  <c r="C15" i="9"/>
  <c r="D15" i="9"/>
  <c r="T15" i="9"/>
  <c r="U15" i="9"/>
  <c r="C3" i="9"/>
  <c r="F3" i="9"/>
  <c r="I3" i="9"/>
  <c r="D3" i="9"/>
  <c r="G3" i="9"/>
  <c r="J3" i="9"/>
  <c r="T3" i="9"/>
  <c r="P8" i="2"/>
  <c r="P9" i="2"/>
  <c r="P6" i="2"/>
  <c r="N9" i="3"/>
  <c r="N7" i="3"/>
  <c r="N8" i="3"/>
  <c r="N6" i="3"/>
  <c r="E10" i="9"/>
  <c r="H10" i="9"/>
  <c r="W10" i="9"/>
  <c r="U3" i="9"/>
  <c r="C4" i="9"/>
  <c r="F4" i="9"/>
  <c r="I4" i="9"/>
  <c r="T4" i="9"/>
  <c r="U4" i="9"/>
  <c r="C6" i="9"/>
  <c r="F6" i="9"/>
  <c r="I6" i="9"/>
  <c r="L6" i="9"/>
  <c r="O6" i="9"/>
  <c r="T6" i="9"/>
  <c r="U6" i="9"/>
  <c r="U7" i="9"/>
  <c r="U8" i="9"/>
  <c r="U9" i="9"/>
  <c r="U10" i="9"/>
  <c r="K10" i="9"/>
  <c r="N10" i="9"/>
  <c r="Q10" i="9"/>
  <c r="S10" i="9"/>
  <c r="T10" i="9"/>
  <c r="W7" i="9"/>
  <c r="E52" i="11"/>
  <c r="F52" i="11"/>
  <c r="G52" i="11"/>
  <c r="G50" i="11"/>
  <c r="G47" i="11"/>
  <c r="G46" i="11"/>
  <c r="G45" i="11"/>
  <c r="G35" i="11"/>
  <c r="G36" i="11"/>
  <c r="G37" i="11"/>
  <c r="G38" i="11"/>
  <c r="G39" i="11"/>
  <c r="G40" i="11"/>
  <c r="G41" i="11"/>
  <c r="G42" i="11"/>
  <c r="G25" i="11"/>
  <c r="G26" i="11"/>
  <c r="G27" i="11"/>
  <c r="G28" i="11"/>
  <c r="G29" i="11"/>
  <c r="G30" i="11"/>
  <c r="G31" i="11"/>
  <c r="G32" i="11"/>
  <c r="G15" i="11"/>
  <c r="G16" i="11"/>
  <c r="G17" i="11"/>
  <c r="G18" i="11"/>
  <c r="G19" i="11"/>
  <c r="G20" i="11"/>
  <c r="G21" i="11"/>
  <c r="G22" i="11"/>
  <c r="G5" i="11"/>
  <c r="K5" i="11"/>
  <c r="G9" i="11"/>
  <c r="K6" i="11"/>
  <c r="G7" i="11"/>
  <c r="G8" i="11"/>
  <c r="G10" i="11"/>
  <c r="K7" i="11"/>
  <c r="G11" i="11"/>
  <c r="K8" i="11"/>
  <c r="G6" i="11"/>
  <c r="K9" i="11"/>
  <c r="K12" i="11"/>
  <c r="G12" i="11"/>
  <c r="O16" i="8"/>
  <c r="N16" i="8"/>
  <c r="M16" i="8"/>
  <c r="H8" i="6"/>
  <c r="J8" i="6"/>
  <c r="L8" i="6"/>
  <c r="N8" i="6"/>
  <c r="I10" i="5"/>
  <c r="K10" i="5"/>
  <c r="M10" i="5"/>
  <c r="O10" i="5"/>
  <c r="E26" i="8"/>
  <c r="F26" i="8"/>
  <c r="G26" i="8"/>
  <c r="H26" i="8"/>
  <c r="N10" i="5"/>
  <c r="N11" i="5"/>
  <c r="H10" i="5"/>
  <c r="H11" i="5"/>
  <c r="F10" i="5"/>
  <c r="F11" i="5"/>
  <c r="L10" i="5"/>
  <c r="L11" i="5"/>
  <c r="J10" i="5"/>
  <c r="J11" i="5"/>
  <c r="O5" i="5"/>
  <c r="O6" i="5"/>
  <c r="O7" i="5"/>
  <c r="O8" i="5"/>
  <c r="O9" i="5"/>
  <c r="O11" i="5"/>
  <c r="M5" i="5"/>
  <c r="M6" i="5"/>
  <c r="M7" i="5"/>
  <c r="M8" i="5"/>
  <c r="M9" i="5"/>
  <c r="M11" i="5"/>
  <c r="K5" i="5"/>
  <c r="K6" i="5"/>
  <c r="K7" i="5"/>
  <c r="K8" i="5"/>
  <c r="K9" i="5"/>
  <c r="K11" i="5"/>
  <c r="I5" i="5"/>
  <c r="I6" i="5"/>
  <c r="I7" i="5"/>
  <c r="I8" i="5"/>
  <c r="I9" i="5"/>
  <c r="I11" i="5"/>
  <c r="G5" i="5"/>
  <c r="G6" i="5"/>
  <c r="G7" i="5"/>
  <c r="G8" i="5"/>
  <c r="G9" i="5"/>
  <c r="G11" i="5"/>
  <c r="O8" i="6"/>
  <c r="O5" i="6"/>
  <c r="O6" i="6"/>
  <c r="O7" i="6"/>
  <c r="O9" i="6"/>
  <c r="M8" i="6"/>
  <c r="M5" i="6"/>
  <c r="M6" i="6"/>
  <c r="M7" i="6"/>
  <c r="M9" i="6"/>
  <c r="K8" i="6"/>
  <c r="K5" i="6"/>
  <c r="K6" i="6"/>
  <c r="K7" i="6"/>
  <c r="K9" i="6"/>
  <c r="I8" i="6"/>
  <c r="I5" i="6"/>
  <c r="I6" i="6"/>
  <c r="I7" i="6"/>
  <c r="I9" i="6"/>
  <c r="N9" i="6"/>
  <c r="L9" i="6"/>
  <c r="J9" i="6"/>
  <c r="H9" i="6"/>
  <c r="F9" i="6"/>
  <c r="G8" i="6"/>
  <c r="G5" i="6"/>
  <c r="G6" i="6"/>
  <c r="G7" i="6"/>
  <c r="G9" i="6"/>
  <c r="C10" i="6"/>
  <c r="E19" i="1"/>
  <c r="B13" i="5"/>
  <c r="E18" i="1"/>
  <c r="B27" i="4"/>
  <c r="B29" i="4"/>
  <c r="B21" i="4"/>
  <c r="B22" i="4"/>
  <c r="B23" i="4"/>
  <c r="B24" i="4"/>
  <c r="B15" i="4"/>
  <c r="B16" i="4"/>
  <c r="B17" i="4"/>
  <c r="B18" i="4"/>
  <c r="B11" i="4"/>
  <c r="B12" i="4"/>
  <c r="B6" i="4"/>
  <c r="B7" i="4"/>
  <c r="B8" i="4"/>
  <c r="B31" i="4"/>
  <c r="C21" i="4"/>
  <c r="C22" i="4"/>
  <c r="C23" i="4"/>
  <c r="C24" i="4"/>
  <c r="C15" i="4"/>
  <c r="C16" i="4"/>
  <c r="C17" i="4"/>
  <c r="C18" i="4"/>
  <c r="C31" i="4"/>
  <c r="D28" i="4"/>
  <c r="D29" i="4"/>
  <c r="D21" i="4"/>
  <c r="D22" i="4"/>
  <c r="D23" i="4"/>
  <c r="D24" i="4"/>
  <c r="D15" i="4"/>
  <c r="D16" i="4"/>
  <c r="D17" i="4"/>
  <c r="D18" i="4"/>
  <c r="D31" i="4"/>
  <c r="B32" i="4"/>
  <c r="E17" i="1"/>
  <c r="M7" i="2"/>
  <c r="E15" i="1"/>
  <c r="E27" i="8"/>
  <c r="F27" i="8"/>
  <c r="G27" i="8"/>
  <c r="H27" i="8"/>
  <c r="D27" i="8"/>
  <c r="I27" i="8"/>
  <c r="E13" i="1"/>
  <c r="E20" i="1"/>
  <c r="C8" i="3"/>
  <c r="E21" i="1"/>
  <c r="E22" i="1"/>
  <c r="D20" i="1"/>
  <c r="I8" i="3"/>
  <c r="J8" i="3"/>
  <c r="K8" i="3"/>
  <c r="D7" i="3"/>
  <c r="K7" i="3"/>
  <c r="D6" i="3"/>
  <c r="D8" i="3"/>
  <c r="D9" i="3"/>
  <c r="H6" i="3"/>
  <c r="K6" i="3"/>
  <c r="K9" i="3"/>
  <c r="G8" i="3"/>
  <c r="H8" i="3"/>
  <c r="H7" i="3"/>
  <c r="H9" i="3"/>
  <c r="I9" i="3"/>
  <c r="J9" i="3"/>
  <c r="G7" i="3"/>
  <c r="G6" i="3"/>
  <c r="F7" i="3"/>
  <c r="F6" i="3"/>
  <c r="E7" i="3"/>
  <c r="E6" i="3"/>
  <c r="B6" i="3"/>
  <c r="B7" i="3"/>
  <c r="B8" i="3"/>
  <c r="B9" i="3"/>
  <c r="C7" i="3"/>
  <c r="C6" i="3"/>
  <c r="G9" i="3"/>
  <c r="F9" i="3"/>
  <c r="E9" i="3"/>
  <c r="C9" i="3"/>
  <c r="G11" i="2"/>
  <c r="F11" i="2"/>
  <c r="E11" i="2"/>
  <c r="D11" i="2"/>
  <c r="C11" i="2"/>
</calcChain>
</file>

<file path=xl/sharedStrings.xml><?xml version="1.0" encoding="utf-8"?>
<sst xmlns="http://schemas.openxmlformats.org/spreadsheetml/2006/main" count="540" uniqueCount="358">
  <si>
    <t>Country</t>
  </si>
  <si>
    <t xml:space="preserve">DRC </t>
  </si>
  <si>
    <t>Guinea Bissau</t>
  </si>
  <si>
    <t>Nigeria</t>
  </si>
  <si>
    <t>Province (old)</t>
  </si>
  <si>
    <t>Project Area</t>
  </si>
  <si>
    <t>Population</t>
  </si>
  <si>
    <t>Notes</t>
  </si>
  <si>
    <t>Maniema</t>
  </si>
  <si>
    <t>Kasongo</t>
  </si>
  <si>
    <t>Orientale</t>
  </si>
  <si>
    <t>Ituri Nord</t>
  </si>
  <si>
    <t>Ituri Sud</t>
  </si>
  <si>
    <t>Uele</t>
  </si>
  <si>
    <t>Total</t>
  </si>
  <si>
    <t>*Schisto</t>
  </si>
  <si>
    <t>*STH</t>
  </si>
  <si>
    <t>&gt;5 yrs/height based at 65% target</t>
  </si>
  <si>
    <t>Budget estimates rely on Ministry of Health donor action plan budgeting exercise conducted with all NTD partners in March 2016</t>
  </si>
  <si>
    <t>State (old)</t>
  </si>
  <si>
    <t>Eastern Equatoria</t>
  </si>
  <si>
    <t>Central Equatoria</t>
  </si>
  <si>
    <t>Western Equatoria</t>
  </si>
  <si>
    <t>Number of LF Treatments</t>
  </si>
  <si>
    <t>Number of STH Treatments</t>
  </si>
  <si>
    <t>Number of Sch Treatments</t>
  </si>
  <si>
    <t>Estimated Population (2016)</t>
  </si>
  <si>
    <t>South Sudan</t>
  </si>
  <si>
    <t>Notes*</t>
  </si>
  <si>
    <t xml:space="preserve">Budget estimates based on Sightsavers 2016 budget for Western Equatoria, inflated for increased CDDs, supervision and materials. </t>
  </si>
  <si>
    <t>Description</t>
  </si>
  <si>
    <t>Dissemination of study report</t>
  </si>
  <si>
    <t>Subtotal objective 1</t>
  </si>
  <si>
    <t>Subtotal objective 2</t>
  </si>
  <si>
    <t>Production of posters, flyers, flip charts, calendars, brochures</t>
  </si>
  <si>
    <t>Production of T-shirts</t>
  </si>
  <si>
    <t>Banners</t>
  </si>
  <si>
    <t>Subtotal objective 3</t>
  </si>
  <si>
    <t>Community talks</t>
  </si>
  <si>
    <t>Subtotal objective 4</t>
  </si>
  <si>
    <t>Yearly review and planning meetings</t>
  </si>
  <si>
    <t>Evaluation</t>
  </si>
  <si>
    <t>Subtotal objective 5</t>
  </si>
  <si>
    <t>Cameroon</t>
  </si>
  <si>
    <t>Year 1 (2017)</t>
  </si>
  <si>
    <t>Year 2 (2018)</t>
  </si>
  <si>
    <t>Year 3 (2019)</t>
  </si>
  <si>
    <t>Cote d'Ivoire</t>
  </si>
  <si>
    <t>These indicative one year budget expansion figures were developed by Simon Bush, Timothy Finn and respective Sightsavers Country Directors.</t>
  </si>
  <si>
    <t>Population Targets:</t>
  </si>
  <si>
    <t>Population Target Schisto*</t>
  </si>
  <si>
    <t>Population Target STH*</t>
  </si>
  <si>
    <t>Population Target LF**</t>
  </si>
  <si>
    <t>Population Target oncho**</t>
  </si>
  <si>
    <t xml:space="preserve">Total additional treatments that could potentially be provided: 9.0 million. Would allow for full programmatic coverage in former Provincial Orientale, Kasongo CDTI project area. </t>
  </si>
  <si>
    <t>***Please note these are estimated figures and subject to change.</t>
  </si>
  <si>
    <t>Population at Risk Schisto</t>
  </si>
  <si>
    <t>Population at Risk STH</t>
  </si>
  <si>
    <t>Population at Risk LF</t>
  </si>
  <si>
    <t>Population at Risk Oncho</t>
  </si>
  <si>
    <t>Population Target for Oncho</t>
  </si>
  <si>
    <r>
      <rPr>
        <b/>
        <sz val="10"/>
        <color theme="1"/>
        <rFont val="Arial"/>
        <family val="2"/>
      </rPr>
      <t xml:space="preserve">Please note: </t>
    </r>
    <r>
      <rPr>
        <sz val="10"/>
        <color theme="1"/>
        <rFont val="Arial"/>
        <family val="2"/>
      </rPr>
      <t>Population and at risk populations were based on the 2008 Census inflated by 3% to 2016.</t>
    </r>
  </si>
  <si>
    <t xml:space="preserve">* Political stability is essential to operating in South Sudan. Recent events are cause for concern and will interrupt ongoing MDA for Oncho in Western Equatoria. We present this information to present the magnitude of disease endemicity in 3 of 10 states. These states are considered the most stable, easily accessible, and have had MDA expenience in the past. They are the ideal areas for a nascent integrated NTD control program. </t>
  </si>
  <si>
    <t>Behavior change communication strategy development workshop</t>
  </si>
  <si>
    <t>Exchanged at USD (595.27 XAF/1 USD)</t>
  </si>
  <si>
    <t>~ Sightsavers support to UFAR and Onchocerciasis programme</t>
  </si>
  <si>
    <t>~ Onchocerciasis Control/Elimination project</t>
  </si>
  <si>
    <t>Community Directed Treatment with Ivermectin, Northern Zone</t>
  </si>
  <si>
    <t>Including all Nigeria NTD individual projects and DFID UNITED project (detailed in document 10b)</t>
  </si>
  <si>
    <t>TOTAL</t>
  </si>
  <si>
    <t>Region</t>
  </si>
  <si>
    <t>Health district</t>
  </si>
  <si>
    <t>Lola</t>
  </si>
  <si>
    <t>Yomou</t>
  </si>
  <si>
    <t>Nzerekore</t>
  </si>
  <si>
    <t xml:space="preserve">Estimated Population </t>
  </si>
  <si>
    <t>Percentage prevalence of schistosomiasis %</t>
  </si>
  <si>
    <t>Percentage prevalence of STH %</t>
  </si>
  <si>
    <t>*Please note these are estimated figures and subject to change.</t>
  </si>
  <si>
    <t>Total per year*</t>
  </si>
  <si>
    <t>**Please note these are estimated figures and subject to change.</t>
  </si>
  <si>
    <t>Estimated one year budget*</t>
  </si>
  <si>
    <t>WORODOUGOU-BERE</t>
  </si>
  <si>
    <t>Project name</t>
  </si>
  <si>
    <t>Activity detail</t>
  </si>
  <si>
    <t>Comment</t>
  </si>
  <si>
    <t>Guinea Bissau Schisto / STH scale up budget</t>
  </si>
  <si>
    <t>Sentinel site surveys &amp; laboratory equipments for STH/Schisto</t>
  </si>
  <si>
    <t>School/Community registers</t>
  </si>
  <si>
    <t>Annual review and planning meeting of activities</t>
  </si>
  <si>
    <r>
      <t xml:space="preserve">2016 planned NTD budget expenditure in GBP £
</t>
    </r>
    <r>
      <rPr>
        <i/>
        <sz val="10"/>
        <color theme="1"/>
        <rFont val="Arial"/>
        <family val="2"/>
      </rPr>
      <t xml:space="preserve">
*Please see documents 10b and 10c for further information on these figures. The column is presented in GBP to allow direct comparison with the two documents.</t>
    </r>
  </si>
  <si>
    <t xml:space="preserve">Guinea </t>
  </si>
  <si>
    <t xml:space="preserve">Existing NTD programmes
</t>
  </si>
  <si>
    <t xml:space="preserve">This document presents a snapshot overview of the countries in which Sightsavers operates NTD programmes, where we would like to scale up or introduce deworming activity into our integrated NTD programmes. </t>
  </si>
  <si>
    <t>~ Guinea Bissau Community Directed Treatment with Ivermectin
~ Trachoma Elimination programme</t>
  </si>
  <si>
    <t>~ NTDs (Mectizan and others) - South West Region 1, South West region 2, North West and West (4 projects)
~ North and Far North trachoma elimination projects</t>
  </si>
  <si>
    <t>~ Three active programmes supporting MDA for oncho and LF
~ Trachoma Elimination Project</t>
  </si>
  <si>
    <r>
      <t xml:space="preserve">Brief description of basis for deworming scale up potential for each integrated programme
</t>
    </r>
    <r>
      <rPr>
        <b/>
        <sz val="10"/>
        <color rgb="FFFF0000"/>
        <rFont val="Arial"/>
        <family val="2"/>
      </rPr>
      <t xml:space="preserve">
</t>
    </r>
  </si>
  <si>
    <t>** LF/Oncho</t>
  </si>
  <si>
    <t>The END Fund currently supports Oncho/LF in all 10 health zones and USAID supports 1 health zone for Schisto/STH. 9 health zones could benefit from Schisto/STH expansion. This would allow full integration in project area. Average Schisto/STH prevalence = 38.4/49.5%</t>
  </si>
  <si>
    <t xml:space="preserve">No support in Project Area. 23 health zones, of qualified for MDA: 23 Oncho, 18 LF, 11 Schisto, 5 STH. Avg Schisto/STH prevalence 38%/29%. </t>
  </si>
  <si>
    <t xml:space="preserve">No support in Project Area. 24 health zones, of qualified for MDA: 24 Oncho, 15 LF, 9 Schisto, 9 STH. Avg Schisto/STH prevalence 30%/43%. </t>
  </si>
  <si>
    <t xml:space="preserve">Calculated for school aged children or 35% of population. The Ministry of Health of DRC recommends treating 75% of total population given elevated schisto prevalence in health zones. </t>
  </si>
  <si>
    <t xml:space="preserve">Calculated for school aged children or 35% of population. The Ministry of Health of DRC recommends treating 75% of total population given elevated  STH prevalence in health zones. </t>
  </si>
  <si>
    <t>South Sudan - Summary of opportunity for additional deworming treatment provision by area in Greater Equatoria</t>
  </si>
  <si>
    <t>MDA for trachoma has been undertaken by The Carter Center since 2007 in four out of eight counties. LF is endemic in all areas and would overlap with STH and Schisto where co-endemic. Should funding be supported by GiveWell, target could be for expansion in early 2018. The one year budget figure relates to 2018.</t>
  </si>
  <si>
    <t>House to house MDA was done in 2011 in four out of six counties reaching approximately 220 - 300,000 people for Schisto/STH for the first ever combined NTD MDA campaign in South Sudan. Costs were high due to the need to implement the project in eight weeks with the average cost per treatment at $2 and no local partner. Juba presents a challenge due to urban setting. Should funding be supported by GiveWell, target for could be for expansion in late 2017/early 2018. The one year budget figure relates to 2017.</t>
  </si>
  <si>
    <t>Oncho is currently supported by Sightsavers with MDA planned for 2016 in all counties. Only three out of ten counties have been mapped to date for LF, Schisto and STH. Minor additional costs to add Schisto and LF/STH as needed. Mapping should be completed by 2017. Treatment is possible year-round and should funding become available, this could be considered priority area for expansion. The one year budget figure relates to 2017.</t>
  </si>
  <si>
    <t xml:space="preserve">Disease endemicity is very high with little NTD control. Treatments for STH and Schisto are recommended for all population groups. </t>
  </si>
  <si>
    <t>Indicative three year budget</t>
  </si>
  <si>
    <t xml:space="preserve">Cameroon - Summary of opportunity for Deworming behaviour change communication research and implementation project to complement existing integrated MDA program in 3 regions
</t>
  </si>
  <si>
    <t>Consultant for formative study</t>
  </si>
  <si>
    <t>Objective 1: Carry out research to identify knowledge, attitudinal and behavioural barriers and possible solutions</t>
  </si>
  <si>
    <t>Objective 2: Develop a comprehensive evidence based Behavior Change Communication strategic document</t>
  </si>
  <si>
    <t>Objective 3: Develop and produce Behavior Change Communication materials</t>
  </si>
  <si>
    <t>Radio broadcasts</t>
  </si>
  <si>
    <t>School sensitisation campaigns (Health talks, Quizzes, competitions, etc)</t>
  </si>
  <si>
    <t>Objective 4: Implement Behavior Change Communication activities</t>
  </si>
  <si>
    <t xml:space="preserve">Q9.1 Wish List highlighting capacity for additional funding for integration of deworming activities </t>
  </si>
  <si>
    <t>Registers for each 02 years</t>
  </si>
  <si>
    <t>Monitoring and Evaluation Officer - new post - including office support costs</t>
  </si>
  <si>
    <t>A new role responsible for M&amp;E for all Sightsavers-supported integrated NTD work in Guinea Bissau (trachoma, LF, oncho, STH and schisto). Role would be required if GiveWell support Sightsavers to scale up STH and schisto in Guinea Bissau.</t>
  </si>
  <si>
    <t>Base currency: USD $</t>
  </si>
  <si>
    <t>Guinea Bissau - Updated Five year summary of opportunity for additional deworming treatment provision by area</t>
  </si>
  <si>
    <t>Budget for deworming in Guinea Bissau (for the inclusion of STH /schisto and 80-100% elimination rate)</t>
  </si>
  <si>
    <t>Overall Total</t>
  </si>
  <si>
    <t>OVERALL TOTAL</t>
  </si>
  <si>
    <t>Sub-total</t>
  </si>
  <si>
    <t>Updated October 2016</t>
  </si>
  <si>
    <t>Coverage surveys</t>
  </si>
  <si>
    <t>Estimated one year Budget 2017***</t>
  </si>
  <si>
    <t>Estimated budget 2018</t>
  </si>
  <si>
    <t>Estimated budget 2019</t>
  </si>
  <si>
    <t>Estimated budget 2020</t>
  </si>
  <si>
    <t>Estimated budget 2021</t>
  </si>
  <si>
    <t>Five year total</t>
  </si>
  <si>
    <t>Total over three years</t>
  </si>
  <si>
    <t>$</t>
  </si>
  <si>
    <t>M &amp; E visits</t>
  </si>
  <si>
    <t>Staff cost</t>
  </si>
  <si>
    <t>Guinean Franc</t>
  </si>
  <si>
    <t>XOF</t>
  </si>
  <si>
    <t>USD</t>
  </si>
  <si>
    <t>Cost for Mankono district MDA</t>
  </si>
  <si>
    <t>M&amp;E visits</t>
  </si>
  <si>
    <t>Health district / description</t>
  </si>
  <si>
    <t>Exchange rate $1 = 9472.1088 Guinean Francs</t>
  </si>
  <si>
    <t>Exchange rate $1 = 595.99 XOF</t>
  </si>
  <si>
    <t>Overall total</t>
  </si>
  <si>
    <t>Indirect cost rate @ 14.31% (based on USAID NICRA methodology)</t>
  </si>
  <si>
    <t>Please note with current market situation exchange rates are volatile and figures presented in USD may need to be restated if there are significant exchange rate fluctuations between now and project implementation</t>
  </si>
  <si>
    <t>Management costs</t>
  </si>
  <si>
    <r>
      <t xml:space="preserve">Indicative budget to add new deworming activity to existing NTD programmes* in USD $
</t>
    </r>
    <r>
      <rPr>
        <i/>
        <sz val="10"/>
        <rFont val="Arial"/>
        <family val="2"/>
      </rPr>
      <t>*Please note these are estimated figures and subject to change.
** Please note the number of years funding requested varies by country and is detailed in the notes in column F</t>
    </r>
  </si>
  <si>
    <t>LF is prevalent in all regions of Guinea Bissau. We received new support in 2016 from UK Aid Match to scale up our LF elimination work to cover eight of the country's 11 regions. 
For the remaining three regions, there is a need to scale up MDA for LF: this will also address deworming treatment needs in these three regions. These costs include: staff costs, travel and transportation, equipment and supplies (including vehicles and office equipment), local office costs, monitoring and evaluation, training, mass drug distribution and IEC activities.</t>
  </si>
  <si>
    <t>Scale up of LF elimination activities to remaining three regions in Guinea Bissau (will address deworming)</t>
  </si>
  <si>
    <r>
      <rPr>
        <b/>
        <sz val="10"/>
        <rFont val="Arial"/>
        <family val="2"/>
      </rPr>
      <t xml:space="preserve">Please note: </t>
    </r>
    <r>
      <rPr>
        <sz val="10"/>
        <rFont val="Arial"/>
        <family val="2"/>
      </rPr>
      <t xml:space="preserve">Political stability is essential to operating in South Sudan. Recent events are cause for concern and whilst we have kept our proposed budget for a first year of activity on this 'South Sudan' worksheet, we have greyscaled this, and removed the amount from our request to GiveWell on the cover sheet. As soon as the security situation improves we would wish to request this financial support from GiveWell, beginning with work in Western Equatoria state where Sightsavers has been previously operating. </t>
    </r>
  </si>
  <si>
    <t>The tables include a snapshot of Sightsavers existing NTD programme activity in each country, the deworming activities that could be added with the support of additional funding, and the approximate amount of funding that would be required.</t>
  </si>
  <si>
    <r>
      <rPr>
        <sz val="10"/>
        <rFont val="Arial"/>
        <family val="2"/>
      </rPr>
      <t>1. We have now updated this to contain 5 year budget information from 2017 - 2021. In line with our recent discussions with GiveWell this would enable Sightsavers to make a committment to the Ministry of Health to undertake the work required over this period of time.
2. The cost of a coverage survey once per year has been added. Total estimated cost over 5 years is $49,134.
3. Please see Q9.2 'Notes to accompany spreadsheet' for a full description. (This contains information updated from Sightsavers Phase 1 submission to GiveWell, document Q1e. Guinea Bissau budget plans)</t>
    </r>
    <r>
      <rPr>
        <i/>
        <sz val="10"/>
        <rFont val="Arial"/>
        <family val="2"/>
      </rPr>
      <t xml:space="preserve">
</t>
    </r>
    <r>
      <rPr>
        <sz val="10"/>
        <rFont val="Arial"/>
        <family val="2"/>
      </rPr>
      <t xml:space="preserve">4. Please see the worksheet tab 'Guinea Bissau' for updated budgetary information.
</t>
    </r>
  </si>
  <si>
    <t>1. Whilst we have kept our proposed budget for activity in Ituri Nord on the 'DRC' worksheet, we have greyscaled the other three regions, and reduced the amount of our request to GiveWell. Ituri Nord is a region where we already operate and wish to scale up from 2017. We would wish to request the additional financial support for three further regions of Kasongo, Ituri Sud and Uele from GiveWell in the future. 
2. We have updated the request for Ituri Nord to contain 5 year budget information from 2017 - 2021. In line with our recent discussions with GiveWell this would enable Sightsavers to make a committment to the Ministry of Health to undertake the work required over this period of time.
3. We have incorporated the costs of coverage surveys for treatment validation. Total estimated cost over 5 years is $61,051.
4. Please see 'Q9.2 Notes to accompany spreadsheet' for a full description. 
NB. Please note the existing planned 2016 oncho and LF project budget (covering Ituri Nord) is due to increase due to securing funding from the UK Government DFID Aid Match scheme. Information about this can be found in document 16.1.</t>
  </si>
  <si>
    <t>1. Please see 'Q9.2 Notes to accompany spreadsheet' for a full description. This figure is inclusive of a Behaviour change communication research and implementation project to complement existing integrated MDA programmes in 3 regions. 
2. This total includes requests for funds over a period of 3 years.  In line with our recent discussions with GiveWell this would enable Sightsavers to make a committment to the Ministry of Health to undertake the work required over this period of time.
3. Please see the worksheet tab 'Cameroon' for breakdown of indicative budget figures. As this is a BCC program we have not included costs for coverage surveys.
4. Please see Sightsavers document submission Q.16.1 for a full description of our programme in Cameroon</t>
  </si>
  <si>
    <t>1. Political stability is essential to operating in South Sudan. Recent events are cause for concern and whilst we have kept our proposed budget for a first year of activity on the 'South Sudan' worksheet, we have greyscaled this, and removed the amount from our request to GiveWell here. As soon as the security situation improves we would wish to request this financial support from GiveWell, beginning with work in Western Equatoria state where Sightsavers has been previously operating. 
2. Please see 'Q9.2 Notes to accompany spreadsheet' for a full description of future potentail activity. 
3. Please see the worksheet tab 'South Sudan' for breakdown of indicative one year budget figures by state.</t>
  </si>
  <si>
    <t>1. We have updated the request to contain 5 year budget information from 2017 - 2021. In line with our recent discussions with GiveWell this would enable Sightsavers to make a committment to the Ministry of Health to undertake the work required over this period of time.
2. The cost of coverage surveys has been added. Total estimated cost over 5 years is $37,088.
3. Please see 'Q9.2 Notes to accompany spreadsheet' for a full description. Activities are inclusive of expansion of schisto MDA in 3 districts. 
4. Please see the worksheet tab 'Guinea' for breakdown of indicative budget figure.</t>
  </si>
  <si>
    <t>1. We have updated the request to contain 5 year budget information from 2017 - 2021. In line with our recent discussions with GiveWell this would enable Sightsavers to make a committment to the Ministry of Health to undertake the work required over this period of time.
2. Please see 'Q9.2 Notes to accompany spreadsheet' for a full description. Activities are inclusive of expansion of STH MDA in 1 district. 
3. The cost of coverage surveys has been added. Total estimated cost over 5 years is $22,251.
4. Please see the worksheet tab 'Cote d'Ivoire' for breakdown of indicative budget figures.</t>
  </si>
  <si>
    <t>14.31% is Sightsavers 2016 indirect cost rate, calculated using USAID's NICRA methodology. This is revised yearly.</t>
  </si>
  <si>
    <r>
      <rPr>
        <b/>
        <sz val="10"/>
        <rFont val="Arial"/>
        <family val="2"/>
      </rPr>
      <t xml:space="preserve">1. Please See Sightsavers Phase 1 submission to GiveWell, document Q1e. Nigeria budget plans for scale up opportunity details. </t>
    </r>
    <r>
      <rPr>
        <sz val="10"/>
        <rFont val="Arial"/>
        <family val="2"/>
      </rPr>
      <t xml:space="preserve">
2. This covers activity over an initial one year period. Further planning would be required to develop a five year program and budget.
3. Figure in column E based on example of 2016 estimated costs featured in Sightsavers Phase 1 submission (to scale up in 4 states and begin work in Benue state at $415,973), plus we have now added the cost of coverage surveys (one per state in 5 states, at $10,488 per survey, totalling $52,440). Coverage survey methodology may require revision to this estimated cost.
4. Please see Sightsavers document submission Q.16.1 for an update on our NTD programme and funding in Nigeria.</t>
    </r>
  </si>
  <si>
    <t>Capacity building for teachers and healthworkers (training/retraining)</t>
  </si>
  <si>
    <t xml:space="preserve">Capacity building for community drug distributors (training/retraining) </t>
  </si>
  <si>
    <t>Drug collection from MOH Medical Store</t>
  </si>
  <si>
    <t>Mobilisation and sensitization of schools/communities, school education boards and parents</t>
  </si>
  <si>
    <t>Production of Information, Education and Communication (IEC) materials</t>
  </si>
  <si>
    <t>Monitoring, supervision and evaluation of the activities</t>
  </si>
  <si>
    <t>Production of Management Information System (MIS) forms/ photocopies</t>
  </si>
  <si>
    <t>Production of measuring sticks</t>
  </si>
  <si>
    <t>Management of side-effects</t>
  </si>
  <si>
    <t>Vehicle running cost and office supplies</t>
  </si>
  <si>
    <t>Data management</t>
  </si>
  <si>
    <t>Drug distribution (transport for CDDs)</t>
  </si>
  <si>
    <t>Drug distribution (snacks for children for PZQ taking)*</t>
  </si>
  <si>
    <t>National Coordination &amp; Reporting: vehicle purchase for national coordination</t>
  </si>
  <si>
    <t>National Coordination &amp; Reporting: monitoring and supervision</t>
  </si>
  <si>
    <t>Pre-Treatment Assessment Survey for LF</t>
  </si>
  <si>
    <t>These two budget lines are  to support monitoring and supervision by the central level (MoH)</t>
  </si>
  <si>
    <t xml:space="preserve">The Pre-Treatment Assessment Survey will be conducted in the three remaining LF regions </t>
  </si>
  <si>
    <t xml:space="preserve">Whilst we have kept our proposed budget for activity in Ituri Nord on this 'DRC' worksheet, we have greyscaled the other three regions, and reduced the amount of our request to GiveWell. Ituri Nord is a region where we already operate and wish to scale up from 2017. We would wish to request the additional financial support for three further regions of Kasongo, Ituri Sud and Uele from GiveWell in the future. 
</t>
  </si>
  <si>
    <t>Please note should GiveWell support Sightsavers to scale up our work in Uele, Kasongo and Ituri Sud in the future, management and infrastructure costs would be incurred.</t>
  </si>
  <si>
    <t>Sightsavers supports Oncho/LF in 10/13 health zones, 3 health zones are non-endemic for Oncho/LF. Schisto in 4 health zones, STH in 1 health zone. Schisto prevalence range 13-92%, STH 23%. 
Please note these figures are now inclusive of annual coverage surveys.</t>
  </si>
  <si>
    <t>Objective 5: Ensure effective learning management and knowledge sharing</t>
  </si>
  <si>
    <t>Guinea -  Updated Five year summary of opportunity for additional deworming treatment provision by area</t>
  </si>
  <si>
    <t>Cote d'Ivoire -  Updated Five year summary of opportunity for additional deworming treatment provision by area</t>
  </si>
  <si>
    <t>DRC - Updated Five year summary of opportunity for additional deworming treatment provision by area</t>
  </si>
  <si>
    <t>Opportunity</t>
  </si>
  <si>
    <t>STH and schisto treatments</t>
  </si>
  <si>
    <t>Other treatments</t>
  </si>
  <si>
    <t>Cost</t>
  </si>
  <si>
    <t>Guinea-Bissau</t>
  </si>
  <si>
    <t>DRC- Ituri Nord</t>
  </si>
  <si>
    <t>Cote d'Ivoire - Mankono</t>
  </si>
  <si>
    <t>(1) Five regions - second round of STH treatment (first round provided by an LF and oncho MDA)
(2) Three regions (separate from the previous five) - LF treatments
(3) All 11 regions (all of Guinea-Bissau) - full schistosomiasis treatment</t>
  </si>
  <si>
    <t>Expansion of STH and schisto programs to four states in Nigeria: Kebbi, Koggi, Kwara, and Sokoto</t>
  </si>
  <si>
    <t>Add schisto treatment to 4 health zones and STH to 1 health zone.</t>
  </si>
  <si>
    <t>Cameroon already has a national integrated-NTD program that includes schisto and STH treatments. But compliance for STH and schisto is low. This would fund research to improve compliance.</t>
  </si>
  <si>
    <t>Add STH and schisto to the Mankono district</t>
  </si>
  <si>
    <t>Country - region</t>
  </si>
  <si>
    <t>Nigeria - four states</t>
  </si>
  <si>
    <t>% of deworming treatments</t>
  </si>
  <si>
    <t>Total cost</t>
  </si>
  <si>
    <t>Updated number of school aged children to be reached for treatment of each disease with scale up work</t>
  </si>
  <si>
    <t>Disease</t>
  </si>
  <si>
    <t>Number of School-aged children that could be targeted with additional funding</t>
  </si>
  <si>
    <t>Remarks</t>
  </si>
  <si>
    <t>Schistosomiasis</t>
  </si>
  <si>
    <t>STH</t>
  </si>
  <si>
    <r>
      <rPr>
        <sz val="10"/>
        <color indexed="8"/>
        <rFont val="Arial"/>
        <family val="2"/>
      </rPr>
      <t xml:space="preserve">Sightsavers DFID UK Aid Match Project will support the treatment of oncho and LF in 8 of Guinea Bissau's 11 regions: Bafata, Gabu, Bijagos, Oio, Farim, Bissau, Biombo and Bolama.  It should be noted that treatment used for LF will also treat STH during the MDA in the intervention regions. Five of the regions would need a second round of STH treatment due to high STH prevalence in accordance with WHO guidelines. Three further regions in the country - Quinara, Cacheu and Tombali are not covered by the UK Aid Match project - and full funding for these regions would be required.
</t>
    </r>
    <r>
      <rPr>
        <sz val="11"/>
        <color theme="1"/>
        <rFont val="Calibri"/>
        <family val="2"/>
        <scheme val="minor"/>
      </rPr>
      <t/>
    </r>
  </si>
  <si>
    <t>Total population of Guinea Bissau for reference</t>
  </si>
  <si>
    <t>LF Treatment target for remaining 3 regions, should additional funding become available</t>
  </si>
  <si>
    <t>Cacheu</t>
  </si>
  <si>
    <t>Quinara</t>
  </si>
  <si>
    <t>Tombali</t>
  </si>
  <si>
    <t>GiveWell added this from Sightsavers, Deworming Wishlist, 2016 - v1</t>
  </si>
  <si>
    <t>Estimate of total being spent on deworming</t>
  </si>
  <si>
    <t>This data is taken from GiveWell analysis of Sightsavers Nigeria NTD program budget, 2015-2017</t>
  </si>
  <si>
    <t>Budget for Additional Upscale NTD programme work in Sightsavers Supported States (for the inclusion of STH /schisto and 80-100% elimination rate)</t>
  </si>
  <si>
    <t>GiveWell's Analysis</t>
  </si>
  <si>
    <t>3 Year Total</t>
  </si>
  <si>
    <t>Activity</t>
  </si>
  <si>
    <t>Scale-up plans</t>
  </si>
  <si>
    <t>Kebbi State NTD</t>
  </si>
  <si>
    <t>Capacity Building for teachers and healthworkers</t>
  </si>
  <si>
    <t>Training</t>
  </si>
  <si>
    <t>Drug Collection from FMOH Medical Store</t>
  </si>
  <si>
    <t>Monitoring and evaluation</t>
  </si>
  <si>
    <t>Mobilisation and Sensitization of Schools, School Education Boards and Parents</t>
  </si>
  <si>
    <t>Information, education, and communication</t>
  </si>
  <si>
    <t>Production of Information, Education and Communication (IEC) Materials</t>
  </si>
  <si>
    <t>Supplies</t>
  </si>
  <si>
    <t>Monitoring, Supervision and Evaluation of the activities</t>
  </si>
  <si>
    <t>Drug transportation</t>
  </si>
  <si>
    <t>Production of Management Information System (MIS) forms</t>
  </si>
  <si>
    <t>Other (trachiasis camps)</t>
  </si>
  <si>
    <t>Production of Measuring Sticks</t>
  </si>
  <si>
    <t>Salaries</t>
  </si>
  <si>
    <t>Koggi State NTD</t>
  </si>
  <si>
    <t>Kwara State NTD</t>
  </si>
  <si>
    <t>Sokoto State NTD</t>
  </si>
  <si>
    <t>Activity - National Coordination &amp; Reporting</t>
  </si>
  <si>
    <t>All 4 states</t>
  </si>
  <si>
    <t>Monitoring and Supervision</t>
  </si>
  <si>
    <t>Vehicle Purchase for National coordination</t>
  </si>
  <si>
    <t>COMBINED PROJECT COSTS</t>
  </si>
  <si>
    <t>3 YEAR TOTAL</t>
  </si>
  <si>
    <t>Number of school aged children currently reached for treatment of Schisto/STH</t>
  </si>
  <si>
    <t>State</t>
  </si>
  <si>
    <t>Diseases</t>
  </si>
  <si>
    <t>Number of School-aged children to be reached without funding over 3 years</t>
  </si>
  <si>
    <t>Year 2015</t>
  </si>
  <si>
    <t>Year 2016</t>
  </si>
  <si>
    <t>Year 2017</t>
  </si>
  <si>
    <t>Total over 3 Years</t>
  </si>
  <si>
    <t>Kebbi</t>
  </si>
  <si>
    <t>Schistosomiasis / STH</t>
  </si>
  <si>
    <t>Kogi</t>
  </si>
  <si>
    <t>Kwara</t>
  </si>
  <si>
    <t>Sokoto</t>
  </si>
  <si>
    <t>Number of total school aged children to be reached for treatment of Schisto/STH with scale up work</t>
  </si>
  <si>
    <t>Number of School-aged children to be reached with Funding over three years</t>
  </si>
  <si>
    <t>Number of People to be Treated as Part of the Scale up for Integrated NTD Work</t>
  </si>
  <si>
    <t>Project</t>
  </si>
  <si>
    <t>Number of people treated for Schist/STh (as part of Integrated NTDs)</t>
  </si>
  <si>
    <t>Over 3 years</t>
  </si>
  <si>
    <t>LF drugs treats STH, the STH endemic areas are covered by the LF programme.</t>
  </si>
  <si>
    <t>144,770 and 138,867 persons will be treated for both Schisto and STH in 2015 and 2016 respectively.</t>
  </si>
  <si>
    <t>141,443 and 128,838 persons will be treated for both schisto &amp; STH in 2015 and 2016 respectively.</t>
  </si>
  <si>
    <t>Combined Total</t>
  </si>
  <si>
    <t>Outputs listed below</t>
  </si>
  <si>
    <t>Cost of coverage survey per year per state</t>
  </si>
  <si>
    <t>(See "Deworming Wishlist" tab)</t>
  </si>
  <si>
    <t>Total costs with coverage surveys</t>
  </si>
  <si>
    <t>Total cost of first two years only</t>
  </si>
  <si>
    <t>Add STH and schisto to health districts. Oncho and LF already treated there.</t>
  </si>
  <si>
    <t>Guinea - 3 districts</t>
  </si>
  <si>
    <t>Indirect cost assumption</t>
  </si>
  <si>
    <t>DRC</t>
  </si>
  <si>
    <t>South Sudan - 3 states</t>
  </si>
  <si>
    <t>Potential future opportunity: Supporting STH, schisto, LF, and some oncho treatments in 3 states in South Sudan</t>
  </si>
  <si>
    <t>GW estimate - budget including coverage surveys</t>
  </si>
  <si>
    <t>We assume coverage surveys will cost the same per state as they do in Nigeria</t>
  </si>
  <si>
    <t>Estimated cost with coverage survey</t>
  </si>
  <si>
    <t>Sightsavers added $10,000 to its previous 2017 budget for Ituri Nord to account for a coverage survey; we assume that coverage surveys in the other districts will cost the same.</t>
  </si>
  <si>
    <t>Potential future opportunities (Sightsavers has not yet requested funding for these opportunities, but may in the future):</t>
  </si>
  <si>
    <t>Cumulative funding need (millions USD)</t>
  </si>
  <si>
    <t>GiveWell's prioritization</t>
  </si>
  <si>
    <t>Execution level 1</t>
  </si>
  <si>
    <t>Execution level 2</t>
  </si>
  <si>
    <t>Execution level 3</t>
  </si>
  <si>
    <t>Expand Sightsavers' deworming program in four states in Nigeria for 2 years</t>
  </si>
  <si>
    <t>Behavioral change study in Cameroon</t>
  </si>
  <si>
    <t>Develop deworming program in three states in South Sudan for 1 year</t>
  </si>
  <si>
    <t>Add deworming to Sightsavers' program in Guinea-Bissau for 2 years</t>
  </si>
  <si>
    <t>Add deworming to Sightsavers' program in Guinea-Bissau for an additional 3 years</t>
  </si>
  <si>
    <t>--</t>
  </si>
  <si>
    <t>Total costs (USD)</t>
  </si>
  <si>
    <t>Cumulative funding need (USD)</t>
  </si>
  <si>
    <t>Total costs (millions USD)</t>
  </si>
  <si>
    <t>Table in millions</t>
  </si>
  <si>
    <t>Potential future opportuniti: Supporting STH, schisto,  LF , and oncho treatments in 3 additional regions in the DRC. Additional costs required for management.</t>
  </si>
  <si>
    <t>Expand Sightsavers' deworming program  in four states in Nigeria for an additional 1 year</t>
  </si>
  <si>
    <t>Expand deworming to three additional regions in DRC for 1 year</t>
  </si>
  <si>
    <t>we have guessed that management and infrastructure costs would be 15%, but we are highly uncertain of this.</t>
  </si>
  <si>
    <t>Capacity relevant</t>
  </si>
  <si>
    <t>Add deworming to Sightsavers' program in Ituri Nord, DRC for 2 years</t>
  </si>
  <si>
    <t>Add deworming to Sightsavers' program in Ituri Nord, DRC for an additional 3 years</t>
  </si>
  <si>
    <t>Add deworming to three districts in Guinea for 2 years</t>
  </si>
  <si>
    <t>Add deworming ito three districts in Guinea for an additional 3 years</t>
  </si>
  <si>
    <t>Add deworming to one district in Cote d'Ivoire for 5 years</t>
  </si>
  <si>
    <t>Nigeria - Benue</t>
  </si>
  <si>
    <t>Support an integrated NTD program in Benue</t>
  </si>
  <si>
    <t>Budget for Benue State integrated NTD work - New state work</t>
  </si>
  <si>
    <t xml:space="preserve">
2015</t>
  </si>
  <si>
    <t>3 year total</t>
  </si>
  <si>
    <t>Benue State NTD</t>
  </si>
  <si>
    <t>Advocacy visits Key Policy makers</t>
  </si>
  <si>
    <t>Information Education and Communication (IEC) Production</t>
  </si>
  <si>
    <t>Management Information System (MIS) Production</t>
  </si>
  <si>
    <t>Planning Meeting</t>
  </si>
  <si>
    <t>Sensitisation and Mobilisation of Community leaders and community members</t>
  </si>
  <si>
    <t>Drugs Collection &amp; Deliver from Federal Medical Store to States</t>
  </si>
  <si>
    <t>Capacity Building of Health Staff, Community Voluteers and Teachers</t>
  </si>
  <si>
    <t>Supervision by Healthworkers</t>
  </si>
  <si>
    <t>Monitoring of field activities by FMOH and Programme Staff</t>
  </si>
  <si>
    <t>Data Collection</t>
  </si>
  <si>
    <t>Review meeting</t>
  </si>
  <si>
    <t>Transmission assessment surveys</t>
  </si>
  <si>
    <t>Epidemiological Impact Assessment</t>
  </si>
  <si>
    <t>Entomological Surveys (+ OV16 testing)</t>
  </si>
  <si>
    <t>Treatment Coverage Survey</t>
  </si>
  <si>
    <t>Staff Cost</t>
  </si>
  <si>
    <t>Purchase of Project Vehicle</t>
  </si>
  <si>
    <t>Vehicle running cost</t>
  </si>
  <si>
    <t>Vehicle Maintenance</t>
  </si>
  <si>
    <t>Office Cost</t>
  </si>
  <si>
    <t>Programme Officer to be stationed in the state</t>
  </si>
  <si>
    <t>Purchase of Motorcycles for Healthworkers (Incl Insurance &amp; cost of transportation); year 2 &amp; 3 is cost for insurance only</t>
  </si>
  <si>
    <t>Diseases Targetted</t>
  </si>
  <si>
    <t>Onchocerciasis</t>
  </si>
  <si>
    <t>LF</t>
  </si>
  <si>
    <t>Schisto</t>
  </si>
  <si>
    <t>Number of NTDs Targetted</t>
  </si>
  <si>
    <t xml:space="preserve">Exchange rate </t>
  </si>
  <si>
    <t xml:space="preserve">N272.91 to £1 (from GAS as at 18th November 2014) </t>
  </si>
  <si>
    <t>Outputs to show number of children reached for treatment of Schisto/STH -Benue State</t>
  </si>
  <si>
    <t>Audience/Year</t>
  </si>
  <si>
    <t>Number of children to be reached and treated for STH/Schisto</t>
  </si>
  <si>
    <t>Total cost with coverage surveys</t>
  </si>
  <si>
    <t xml:space="preserve">See Sightsavers, Benue project overiew, Pg 2. Note that "other treatments" only includes LF; it's possibel that this underestimates the other treatments. </t>
  </si>
  <si>
    <t>Note: there is already a "coverage survey" line item in the budget for Benue, but we have added the cost of this coverage survey because (1) we believe it's possible that the coverage survey previously accounted for was not as comprehensive as the coverage surveys we expect and (2) Sightsavers noted in the "Deworming Wishlist" tab that it had added a coverage survey for 5 states in Nigeria to the total, implying that it expected it would need the additional $10,488 in Benue to complete a coverage survey for GiveWell.</t>
  </si>
  <si>
    <t>Support a new integrated NTD program in Benue, Nigeria for 2 years</t>
  </si>
  <si>
    <t>Support a new integrated NTD program in Benue, Nigeria for an additional 1 year</t>
  </si>
  <si>
    <t>Exeuction 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</si>
</sst>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quot;$&quot;* #,##0.00_);_(&quot;$&quot;* \(#,##0.00\);_(&quot;$&quot;* &quot;-&quot;??_);_(@_)"/>
    <numFmt numFmtId="165" formatCode="_(* #,##0.00_);_(* \(#,##0.00\);_(* &quot;-&quot;??_);_(@_)"/>
    <numFmt numFmtId="166" formatCode="&quot;£&quot;#,##0"/>
    <numFmt numFmtId="167" formatCode="_-* #,##0.00_-;\-* #,##0.00_-;_-* \-??_-;_-@_-"/>
    <numFmt numFmtId="168" formatCode="_-* #,##0\ _€_-;\-* #,##0\ _€_-;_-* &quot;-&quot;??\ _€_-;_-@_-"/>
    <numFmt numFmtId="169" formatCode="[$$-409]#,##0"/>
    <numFmt numFmtId="170" formatCode="#,##0.0"/>
    <numFmt numFmtId="171" formatCode="_-* #,##0_-;\-* #,##0_-;_-* &quot;-&quot;??_-;_-@_-"/>
    <numFmt numFmtId="172" formatCode="_(* #,##0_);_(* \(#,##0\);_(* &quot;-&quot;??_);_(@_)"/>
    <numFmt numFmtId="173" formatCode="_(&quot;$&quot;* #,##0_);_(&quot;$&quot;* \(#,##0\);_(&quot;$&quot;* &quot;-&quot;??_);_(@_)"/>
    <numFmt numFmtId="174" formatCode="0.0%"/>
    <numFmt numFmtId="175" formatCode="&quot;$&quot;#,##0.0_);[Red]\(&quot;$&quot;#,##0.0\)"/>
    <numFmt numFmtId="176" formatCode="[$$-409]#,##0.00"/>
    <numFmt numFmtId="177" formatCode="[$$-409]#,##0_ ;\-[$$-409]#,##0\ "/>
  </numFmts>
  <fonts count="27" x14ac:knownFonts="1">
    <font>
      <sz val="11"/>
      <color theme="1"/>
      <name val="Calibri"/>
      <family val="2"/>
      <scheme val="minor"/>
    </font>
    <font>
      <sz val="11"/>
      <color theme="1"/>
      <name val="Calibri"/>
      <family val="2"/>
      <scheme val="minor"/>
    </font>
    <font>
      <sz val="10"/>
      <name val="Arial"/>
      <family val="2"/>
    </font>
    <font>
      <sz val="12"/>
      <color theme="1"/>
      <name val="Arial"/>
      <family val="2"/>
    </font>
    <font>
      <b/>
      <sz val="10"/>
      <color theme="1"/>
      <name val="Arial"/>
      <family val="2"/>
    </font>
    <font>
      <sz val="10"/>
      <color theme="1"/>
      <name val="Arial"/>
      <family val="2"/>
    </font>
    <font>
      <sz val="8"/>
      <name val="MS Sans Serif"/>
      <family val="2"/>
      <charset val="1"/>
    </font>
    <font>
      <sz val="11"/>
      <color indexed="8"/>
      <name val="Calibri"/>
      <family val="2"/>
    </font>
    <font>
      <u/>
      <sz val="10"/>
      <color indexed="12"/>
      <name val="Arial"/>
      <family val="2"/>
    </font>
    <font>
      <i/>
      <sz val="10"/>
      <color theme="1"/>
      <name val="Arial"/>
      <family val="2"/>
    </font>
    <font>
      <sz val="10"/>
      <color rgb="FFFF0000"/>
      <name val="Arial"/>
      <family val="2"/>
    </font>
    <font>
      <b/>
      <sz val="10"/>
      <color rgb="FFFF0000"/>
      <name val="Arial"/>
      <family val="2"/>
    </font>
    <font>
      <b/>
      <sz val="10"/>
      <name val="Arial"/>
      <family val="2"/>
    </font>
    <font>
      <i/>
      <sz val="10"/>
      <name val="Arial"/>
      <family val="2"/>
    </font>
    <font>
      <sz val="10"/>
      <color rgb="FF000000"/>
      <name val="Arial"/>
      <family val="2"/>
    </font>
    <font>
      <sz val="11"/>
      <color rgb="FFFF0000"/>
      <name val="Calibri"/>
      <family val="2"/>
      <scheme val="minor"/>
    </font>
    <font>
      <sz val="10"/>
      <color theme="0" tint="-0.499984740745262"/>
      <name val="Arial"/>
      <family val="2"/>
    </font>
    <font>
      <b/>
      <sz val="10"/>
      <color theme="0" tint="-0.499984740745262"/>
      <name val="Arial"/>
      <family val="2"/>
    </font>
    <font>
      <i/>
      <sz val="10"/>
      <color rgb="FFFF0000"/>
      <name val="Arial"/>
      <family val="2"/>
    </font>
    <font>
      <b/>
      <sz val="12"/>
      <color rgb="FF000000"/>
      <name val="Arial"/>
      <family val="2"/>
    </font>
    <font>
      <b/>
      <sz val="11"/>
      <color theme="1"/>
      <name val="Calibri"/>
      <scheme val="minor"/>
    </font>
    <font>
      <sz val="10"/>
      <color indexed="8"/>
      <name val="Arial"/>
      <family val="2"/>
    </font>
    <font>
      <u/>
      <sz val="11"/>
      <color theme="11"/>
      <name val="Calibri"/>
      <family val="2"/>
      <scheme val="minor"/>
    </font>
    <font>
      <u/>
      <sz val="11"/>
      <color theme="10"/>
      <name val="Calibri"/>
      <family val="2"/>
      <scheme val="minor"/>
    </font>
    <font>
      <b/>
      <sz val="12"/>
      <color rgb="FFFA7D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2F2F2"/>
      </patternFill>
    </fill>
    <fill>
      <patternFill patternType="solid">
        <fgColor theme="8" tint="0.39997558519241921"/>
        <bgColor indexed="64"/>
      </patternFill>
    </fill>
    <fill>
      <patternFill patternType="solid">
        <fgColor theme="6"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
      <left style="thin">
        <color auto="1"/>
      </left>
      <right style="thin">
        <color rgb="FF7F7F7F"/>
      </right>
      <top style="thin">
        <color rgb="FF7F7F7F"/>
      </top>
      <bottom/>
      <diagonal/>
    </border>
    <border>
      <left style="thin">
        <color auto="1"/>
      </left>
      <right style="thin">
        <color rgb="FF7F7F7F"/>
      </right>
      <top/>
      <bottom style="thin">
        <color rgb="FF7F7F7F"/>
      </bottom>
      <diagonal/>
    </border>
    <border>
      <left/>
      <right style="thin">
        <color rgb="FF7F7F7F"/>
      </right>
      <top style="thin">
        <color rgb="FF7F7F7F"/>
      </top>
      <bottom style="thin">
        <color rgb="FF7F7F7F"/>
      </bottom>
      <diagonal/>
    </border>
  </borders>
  <cellStyleXfs count="86">
    <xf numFmtId="0" fontId="0" fillId="0" borderId="0"/>
    <xf numFmtId="0" fontId="3" fillId="0" borderId="0"/>
    <xf numFmtId="43" fontId="3" fillId="0" borderId="0" applyFont="0" applyFill="0" applyBorder="0" applyAlignment="0" applyProtection="0"/>
    <xf numFmtId="167" fontId="6" fillId="0" borderId="0" applyFill="0" applyBorder="0">
      <alignment vertical="top" wrapText="1"/>
      <protection locked="0"/>
    </xf>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1" fillId="0" borderId="0"/>
    <xf numFmtId="0" fontId="2" fillId="0" borderId="0"/>
    <xf numFmtId="0" fontId="2" fillId="0" borderId="0"/>
    <xf numFmtId="0" fontId="2" fillId="0" borderId="0"/>
    <xf numFmtId="0" fontId="7"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4" fillId="8" borderId="14"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cellStyleXfs>
  <cellXfs count="310">
    <xf numFmtId="0" fontId="0" fillId="0" borderId="0" xfId="0"/>
    <xf numFmtId="0" fontId="5" fillId="0" borderId="0" xfId="0" applyFont="1" applyAlignment="1">
      <alignment horizontal="left" vertical="top"/>
    </xf>
    <xf numFmtId="166" fontId="5" fillId="0" borderId="0" xfId="0" applyNumberFormat="1" applyFont="1" applyAlignment="1">
      <alignment horizontal="right" vertical="top"/>
    </xf>
    <xf numFmtId="0" fontId="5" fillId="0" borderId="0" xfId="0" applyFont="1" applyAlignment="1">
      <alignment horizontal="left" vertical="top" wrapText="1"/>
    </xf>
    <xf numFmtId="0" fontId="4" fillId="0" borderId="0" xfId="0" applyFont="1" applyAlignment="1">
      <alignment vertical="top"/>
    </xf>
    <xf numFmtId="0" fontId="4" fillId="0" borderId="1" xfId="0" applyFont="1" applyBorder="1" applyAlignment="1">
      <alignment vertical="top" wrapText="1"/>
    </xf>
    <xf numFmtId="166" fontId="4" fillId="0" borderId="1" xfId="0" applyNumberFormat="1" applyFont="1" applyBorder="1" applyAlignment="1">
      <alignment vertical="top" wrapText="1"/>
    </xf>
    <xf numFmtId="0" fontId="5" fillId="0" borderId="1" xfId="0" applyFont="1" applyBorder="1" applyAlignment="1">
      <alignment horizontal="left" vertical="top" wrapText="1"/>
    </xf>
    <xf numFmtId="166" fontId="5" fillId="0" borderId="1" xfId="0" applyNumberFormat="1" applyFont="1" applyBorder="1" applyAlignment="1">
      <alignment horizontal="right" vertical="top"/>
    </xf>
    <xf numFmtId="0" fontId="10" fillId="0" borderId="0" xfId="0" applyFont="1" applyAlignment="1">
      <alignment vertical="top" wrapText="1"/>
    </xf>
    <xf numFmtId="0" fontId="10" fillId="0" borderId="0" xfId="0" applyFont="1" applyAlignment="1">
      <alignment horizontal="left" vertical="top"/>
    </xf>
    <xf numFmtId="166" fontId="5" fillId="0" borderId="1" xfId="0" applyNumberFormat="1" applyFont="1" applyBorder="1" applyAlignment="1">
      <alignment horizontal="right" vertical="top" wrapText="1"/>
    </xf>
    <xf numFmtId="169" fontId="5" fillId="0" borderId="0" xfId="0" applyNumberFormat="1" applyFont="1" applyAlignment="1">
      <alignment horizontal="left" vertical="top" wrapText="1"/>
    </xf>
    <xf numFmtId="169" fontId="5" fillId="0" borderId="1" xfId="30" applyNumberFormat="1" applyFont="1" applyBorder="1" applyAlignment="1">
      <alignment horizontal="right" vertical="top"/>
    </xf>
    <xf numFmtId="0" fontId="12" fillId="0" borderId="0" xfId="0" quotePrefix="1" applyFont="1" applyAlignment="1">
      <alignment horizontal="left" vertical="top"/>
    </xf>
    <xf numFmtId="0" fontId="2" fillId="0" borderId="0" xfId="0" applyFont="1" applyAlignment="1">
      <alignment horizontal="left" vertical="top" wrapText="1"/>
    </xf>
    <xf numFmtId="166" fontId="2" fillId="0" borderId="0" xfId="0" applyNumberFormat="1" applyFont="1" applyAlignment="1">
      <alignment horizontal="right" vertical="top"/>
    </xf>
    <xf numFmtId="169" fontId="2" fillId="0" borderId="0" xfId="0" applyNumberFormat="1" applyFont="1" applyAlignment="1">
      <alignment horizontal="left" vertical="top" wrapText="1"/>
    </xf>
    <xf numFmtId="0" fontId="2" fillId="0" borderId="0" xfId="0" applyFont="1" applyAlignment="1">
      <alignment horizontal="left" vertical="top"/>
    </xf>
    <xf numFmtId="166" fontId="5" fillId="0" borderId="1" xfId="30" applyNumberFormat="1" applyFont="1" applyBorder="1" applyAlignment="1">
      <alignment horizontal="right" vertical="top"/>
    </xf>
    <xf numFmtId="0" fontId="5" fillId="0" borderId="0" xfId="0" applyFont="1"/>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wrapText="1"/>
    </xf>
    <xf numFmtId="0" fontId="5" fillId="2" borderId="1" xfId="0" applyFont="1" applyFill="1" applyBorder="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xf>
    <xf numFmtId="168" fontId="5" fillId="2" borderId="1" xfId="29" applyNumberFormat="1" applyFont="1" applyFill="1" applyBorder="1" applyAlignment="1">
      <alignment horizontal="right" vertical="top" wrapText="1"/>
    </xf>
    <xf numFmtId="169" fontId="5" fillId="2" borderId="1" xfId="29" applyNumberFormat="1" applyFont="1" applyFill="1" applyBorder="1" applyAlignment="1">
      <alignment horizontal="right" vertical="top" wrapText="1"/>
    </xf>
    <xf numFmtId="0" fontId="4" fillId="0" borderId="0" xfId="0" applyFont="1"/>
    <xf numFmtId="0" fontId="5" fillId="0" borderId="0" xfId="0" applyFont="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0" xfId="0" applyFont="1" applyBorder="1"/>
    <xf numFmtId="168" fontId="5" fillId="2" borderId="0" xfId="29" applyNumberFormat="1" applyFont="1" applyFill="1" applyBorder="1" applyAlignment="1">
      <alignment vertical="center" wrapText="1"/>
    </xf>
    <xf numFmtId="165" fontId="5" fillId="0" borderId="0" xfId="0" applyNumberFormat="1" applyFont="1"/>
    <xf numFmtId="168" fontId="5" fillId="2" borderId="0" xfId="29" applyNumberFormat="1" applyFont="1" applyFill="1" applyBorder="1" applyAlignment="1">
      <alignment vertical="center"/>
    </xf>
    <xf numFmtId="0" fontId="4" fillId="0" borderId="1" xfId="0" applyFont="1" applyBorder="1" applyAlignment="1">
      <alignment vertical="top"/>
    </xf>
    <xf numFmtId="0" fontId="5" fillId="0" borderId="1" xfId="0" applyFont="1" applyBorder="1" applyAlignment="1">
      <alignment horizontal="left" vertical="top"/>
    </xf>
    <xf numFmtId="0" fontId="4" fillId="2" borderId="0" xfId="0" applyFont="1" applyFill="1" applyAlignment="1"/>
    <xf numFmtId="0" fontId="4" fillId="2" borderId="1" xfId="0" applyFont="1" applyFill="1" applyBorder="1" applyAlignment="1">
      <alignment wrapText="1"/>
    </xf>
    <xf numFmtId="0" fontId="5" fillId="2" borderId="1" xfId="0" applyFont="1" applyFill="1" applyBorder="1" applyAlignment="1">
      <alignment wrapText="1"/>
    </xf>
    <xf numFmtId="0" fontId="4" fillId="2" borderId="1" xfId="0" applyFont="1" applyFill="1" applyBorder="1" applyAlignment="1"/>
    <xf numFmtId="169" fontId="5" fillId="2" borderId="0" xfId="0" applyNumberFormat="1" applyFont="1" applyFill="1"/>
    <xf numFmtId="169" fontId="4" fillId="2" borderId="1" xfId="29" applyNumberFormat="1" applyFont="1" applyFill="1" applyBorder="1"/>
    <xf numFmtId="169" fontId="5" fillId="2" borderId="1" xfId="29" applyNumberFormat="1" applyFont="1" applyFill="1" applyBorder="1"/>
    <xf numFmtId="169" fontId="5" fillId="2" borderId="1" xfId="29" applyNumberFormat="1" applyFont="1" applyFill="1" applyBorder="1" applyAlignment="1">
      <alignment vertical="top"/>
    </xf>
    <xf numFmtId="169" fontId="5" fillId="0" borderId="0" xfId="0" applyNumberFormat="1" applyFont="1"/>
    <xf numFmtId="0" fontId="4" fillId="2" borderId="0" xfId="0" applyFont="1" applyFill="1" applyAlignment="1">
      <alignment wrapText="1"/>
    </xf>
    <xf numFmtId="0" fontId="4" fillId="0" borderId="1" xfId="0" applyFont="1" applyBorder="1" applyAlignment="1">
      <alignment horizontal="left" vertical="top" wrapText="1"/>
    </xf>
    <xf numFmtId="169" fontId="4" fillId="0" borderId="1" xfId="0" applyNumberFormat="1" applyFont="1" applyBorder="1" applyAlignment="1">
      <alignment horizontal="right" vertical="top" wrapText="1"/>
    </xf>
    <xf numFmtId="166" fontId="4" fillId="0" borderId="1" xfId="0" applyNumberFormat="1" applyFont="1" applyBorder="1" applyAlignment="1">
      <alignment horizontal="right" vertical="top"/>
    </xf>
    <xf numFmtId="0" fontId="2" fillId="0" borderId="1" xfId="0" applyFont="1" applyBorder="1" applyAlignment="1">
      <alignment vertical="top" wrapText="1"/>
    </xf>
    <xf numFmtId="0" fontId="2" fillId="0" borderId="0" xfId="0" applyFont="1"/>
    <xf numFmtId="0" fontId="12" fillId="0" borderId="0" xfId="0" applyFont="1"/>
    <xf numFmtId="0" fontId="12" fillId="0" borderId="1" xfId="0" applyFont="1" applyBorder="1" applyAlignment="1">
      <alignment vertical="top"/>
    </xf>
    <xf numFmtId="0" fontId="2" fillId="0" borderId="1" xfId="0" applyFont="1" applyBorder="1"/>
    <xf numFmtId="170" fontId="5" fillId="0" borderId="1" xfId="31" applyNumberFormat="1" applyFont="1" applyBorder="1" applyAlignment="1">
      <alignment horizontal="center"/>
    </xf>
    <xf numFmtId="0" fontId="5" fillId="0" borderId="0" xfId="0" applyFont="1" applyAlignment="1"/>
    <xf numFmtId="171" fontId="5" fillId="0" borderId="1" xfId="29" applyNumberFormat="1" applyFont="1" applyBorder="1" applyAlignment="1">
      <alignment horizontal="center"/>
    </xf>
    <xf numFmtId="0" fontId="12" fillId="0" borderId="1" xfId="0" applyFont="1" applyBorder="1"/>
    <xf numFmtId="0" fontId="4" fillId="3" borderId="1" xfId="0" applyFont="1" applyFill="1" applyBorder="1"/>
    <xf numFmtId="0" fontId="4" fillId="3" borderId="1" xfId="0" applyNumberFormat="1" applyFont="1" applyFill="1" applyBorder="1" applyAlignment="1">
      <alignment horizontal="center"/>
    </xf>
    <xf numFmtId="0" fontId="5" fillId="0" borderId="2" xfId="0" applyFont="1" applyBorder="1" applyAlignment="1">
      <alignment wrapText="1"/>
    </xf>
    <xf numFmtId="169" fontId="5" fillId="0" borderId="1" xfId="0" applyNumberFormat="1" applyFont="1" applyBorder="1"/>
    <xf numFmtId="0" fontId="5" fillId="0" borderId="1" xfId="0" applyFont="1" applyFill="1" applyBorder="1" applyAlignment="1">
      <alignment vertical="center" wrapText="1"/>
    </xf>
    <xf numFmtId="0" fontId="5" fillId="0" borderId="8" xfId="0" applyFont="1" applyBorder="1" applyAlignment="1">
      <alignment wrapText="1"/>
    </xf>
    <xf numFmtId="172" fontId="2" fillId="0" borderId="8" xfId="5" applyNumberFormat="1" applyFont="1" applyBorder="1" applyAlignment="1">
      <alignment vertical="center" wrapText="1"/>
    </xf>
    <xf numFmtId="172" fontId="2" fillId="2" borderId="8" xfId="5" applyNumberFormat="1" applyFont="1" applyFill="1" applyBorder="1" applyAlignment="1">
      <alignment vertical="center" wrapText="1"/>
    </xf>
    <xf numFmtId="169" fontId="5" fillId="2" borderId="1" xfId="0" applyNumberFormat="1" applyFont="1" applyFill="1" applyBorder="1"/>
    <xf numFmtId="0" fontId="4" fillId="0" borderId="0" xfId="0" applyFont="1" applyFill="1"/>
    <xf numFmtId="0" fontId="5" fillId="0" borderId="0" xfId="0" applyFont="1" applyFill="1"/>
    <xf numFmtId="169" fontId="14"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5" fillId="0" borderId="8" xfId="0" applyFont="1" applyFill="1" applyBorder="1" applyAlignment="1">
      <alignment wrapText="1"/>
    </xf>
    <xf numFmtId="169" fontId="5" fillId="0" borderId="1" xfId="0" applyNumberFormat="1" applyFont="1" applyFill="1" applyBorder="1"/>
    <xf numFmtId="0" fontId="13" fillId="0" borderId="1" xfId="0" applyFont="1" applyBorder="1" applyAlignment="1">
      <alignment horizontal="left" vertical="top" wrapText="1"/>
    </xf>
    <xf numFmtId="0" fontId="2" fillId="0" borderId="1" xfId="0" applyFont="1" applyBorder="1" applyAlignment="1">
      <alignment horizontal="left" vertical="top" wrapText="1"/>
    </xf>
    <xf numFmtId="0" fontId="12" fillId="3" borderId="1" xfId="0" applyNumberFormat="1" applyFont="1" applyFill="1" applyBorder="1" applyAlignment="1">
      <alignment horizontal="center"/>
    </xf>
    <xf numFmtId="169" fontId="2" fillId="0" borderId="1" xfId="0" applyNumberFormat="1" applyFont="1" applyBorder="1"/>
    <xf numFmtId="169" fontId="2" fillId="0" borderId="1" xfId="0" applyNumberFormat="1" applyFont="1" applyFill="1" applyBorder="1"/>
    <xf numFmtId="169" fontId="2" fillId="2" borderId="1" xfId="0" applyNumberFormat="1" applyFont="1" applyFill="1" applyBorder="1"/>
    <xf numFmtId="172" fontId="2" fillId="0" borderId="1" xfId="5" applyNumberFormat="1" applyFont="1" applyBorder="1" applyAlignment="1">
      <alignment vertical="center" wrapText="1"/>
    </xf>
    <xf numFmtId="0" fontId="5" fillId="0" borderId="1" xfId="0" applyFont="1" applyBorder="1" applyAlignment="1">
      <alignment wrapText="1"/>
    </xf>
    <xf numFmtId="169" fontId="12" fillId="0" borderId="1" xfId="0" applyNumberFormat="1" applyFont="1" applyBorder="1"/>
    <xf numFmtId="169" fontId="2" fillId="0" borderId="1" xfId="0" applyNumberFormat="1" applyFont="1" applyFill="1" applyBorder="1" applyAlignment="1">
      <alignment horizontal="right" vertical="center"/>
    </xf>
    <xf numFmtId="0" fontId="5" fillId="0" borderId="1" xfId="0" applyFont="1" applyBorder="1" applyAlignment="1">
      <alignment horizontal="center"/>
    </xf>
    <xf numFmtId="0" fontId="4" fillId="0" borderId="1" xfId="0" applyFont="1" applyBorder="1"/>
    <xf numFmtId="0" fontId="2" fillId="0" borderId="0" xfId="0" applyFont="1" applyFill="1"/>
    <xf numFmtId="0" fontId="15" fillId="0" borderId="0" xfId="0" applyFont="1"/>
    <xf numFmtId="0" fontId="11" fillId="0" borderId="0" xfId="0" applyFont="1" applyAlignment="1">
      <alignment horizontal="left" vertical="top"/>
    </xf>
    <xf numFmtId="0" fontId="16" fillId="2" borderId="1" xfId="0" applyFont="1" applyFill="1" applyBorder="1" applyAlignment="1">
      <alignment vertical="center" wrapText="1"/>
    </xf>
    <xf numFmtId="168" fontId="16" fillId="2" borderId="1" xfId="29" applyNumberFormat="1" applyFont="1" applyFill="1" applyBorder="1" applyAlignment="1">
      <alignment horizontal="right" vertical="center" wrapText="1"/>
    </xf>
    <xf numFmtId="1" fontId="16" fillId="2" borderId="1" xfId="29" applyNumberFormat="1" applyFont="1" applyFill="1" applyBorder="1" applyAlignment="1">
      <alignment horizontal="right" vertical="center" wrapText="1"/>
    </xf>
    <xf numFmtId="169" fontId="16" fillId="0" borderId="1" xfId="29" applyNumberFormat="1" applyFont="1" applyBorder="1" applyAlignment="1">
      <alignment horizontal="right" vertical="center" wrapText="1"/>
    </xf>
    <xf numFmtId="0" fontId="16" fillId="0" borderId="1" xfId="0" applyFont="1" applyBorder="1" applyAlignment="1">
      <alignment vertical="center" wrapText="1"/>
    </xf>
    <xf numFmtId="0" fontId="16" fillId="0" borderId="0" xfId="0" applyFont="1"/>
    <xf numFmtId="0" fontId="16" fillId="2" borderId="1" xfId="0" applyFont="1" applyFill="1" applyBorder="1" applyAlignment="1">
      <alignment vertical="center"/>
    </xf>
    <xf numFmtId="168" fontId="17" fillId="2" borderId="1" xfId="29" applyNumberFormat="1" applyFont="1" applyFill="1" applyBorder="1" applyAlignment="1">
      <alignment horizontal="right" vertical="center" wrapText="1"/>
    </xf>
    <xf numFmtId="0" fontId="17" fillId="2" borderId="1" xfId="0" applyFont="1" applyFill="1" applyBorder="1" applyAlignment="1">
      <alignment vertical="center"/>
    </xf>
    <xf numFmtId="169" fontId="4" fillId="4" borderId="1" xfId="0" applyNumberFormat="1" applyFont="1" applyFill="1" applyBorder="1"/>
    <xf numFmtId="169" fontId="4" fillId="5" borderId="1" xfId="0" applyNumberFormat="1" applyFont="1" applyFill="1" applyBorder="1"/>
    <xf numFmtId="0" fontId="16" fillId="2" borderId="1" xfId="0" applyFont="1" applyFill="1" applyBorder="1" applyAlignment="1">
      <alignment horizontal="center" vertical="center"/>
    </xf>
    <xf numFmtId="3" fontId="16" fillId="0" borderId="0" xfId="0" applyNumberFormat="1" applyFont="1" applyAlignment="1">
      <alignment horizontal="right" vertical="center" wrapText="1"/>
    </xf>
    <xf numFmtId="0" fontId="16" fillId="0" borderId="1" xfId="0" applyFont="1" applyBorder="1" applyAlignment="1">
      <alignment horizontal="left" vertical="center" wrapText="1"/>
    </xf>
    <xf numFmtId="169" fontId="17" fillId="2" borderId="1" xfId="29" applyNumberFormat="1" applyFont="1" applyFill="1" applyBorder="1" applyAlignment="1">
      <alignment horizontal="right" vertical="center" wrapText="1"/>
    </xf>
    <xf numFmtId="0" fontId="16" fillId="2" borderId="1" xfId="0" applyFont="1" applyFill="1" applyBorder="1" applyAlignment="1">
      <alignment horizontal="left" vertical="top" wrapText="1"/>
    </xf>
    <xf numFmtId="168" fontId="16" fillId="2" borderId="1" xfId="29" applyNumberFormat="1" applyFont="1" applyFill="1" applyBorder="1" applyAlignment="1">
      <alignment horizontal="right" vertical="top" wrapText="1"/>
    </xf>
    <xf numFmtId="169" fontId="16" fillId="2" borderId="1" xfId="29" applyNumberFormat="1" applyFont="1" applyFill="1" applyBorder="1" applyAlignment="1">
      <alignment horizontal="right" vertical="top" wrapText="1"/>
    </xf>
    <xf numFmtId="0" fontId="16" fillId="2" borderId="0" xfId="0" applyFont="1" applyFill="1" applyAlignment="1">
      <alignment horizontal="left" vertical="top"/>
    </xf>
    <xf numFmtId="0" fontId="16" fillId="0" borderId="0" xfId="0" applyFont="1" applyAlignment="1">
      <alignment horizontal="left" vertical="top"/>
    </xf>
    <xf numFmtId="0" fontId="16" fillId="2" borderId="1" xfId="0" applyFont="1" applyFill="1" applyBorder="1" applyAlignment="1">
      <alignment horizontal="left" vertical="top"/>
    </xf>
    <xf numFmtId="0" fontId="17" fillId="2" borderId="1" xfId="0" applyFont="1" applyFill="1" applyBorder="1" applyAlignment="1">
      <alignment horizontal="left" vertical="top"/>
    </xf>
    <xf numFmtId="168" fontId="17" fillId="2" borderId="1" xfId="29" applyNumberFormat="1" applyFont="1" applyFill="1" applyBorder="1" applyAlignment="1">
      <alignment horizontal="right" vertical="top" wrapText="1"/>
    </xf>
    <xf numFmtId="169" fontId="17" fillId="2" borderId="1" xfId="29" applyNumberFormat="1" applyFont="1" applyFill="1" applyBorder="1" applyAlignment="1">
      <alignment horizontal="right" vertical="top" wrapText="1"/>
    </xf>
    <xf numFmtId="0" fontId="17" fillId="2" borderId="1" xfId="0" applyFont="1" applyFill="1" applyBorder="1" applyAlignment="1">
      <alignment horizontal="left" vertical="top" wrapText="1"/>
    </xf>
    <xf numFmtId="0" fontId="18" fillId="0" borderId="1" xfId="0" applyFont="1" applyFill="1" applyBorder="1" applyAlignment="1">
      <alignment horizontal="left" vertical="top" wrapText="1"/>
    </xf>
    <xf numFmtId="169" fontId="5" fillId="0" borderId="1" xfId="0" applyNumberFormat="1" applyFont="1" applyBorder="1" applyAlignment="1">
      <alignment horizontal="right" vertical="top" wrapText="1"/>
    </xf>
    <xf numFmtId="0" fontId="19"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0" xfId="0" applyFont="1"/>
    <xf numFmtId="169" fontId="14" fillId="0" borderId="1" xfId="0" applyNumberFormat="1" applyFont="1" applyFill="1" applyBorder="1"/>
    <xf numFmtId="3" fontId="2" fillId="0" borderId="0" xfId="0" applyNumberFormat="1" applyFont="1" applyProtection="1">
      <protection locked="0"/>
    </xf>
    <xf numFmtId="3" fontId="5" fillId="0" borderId="0" xfId="0" applyNumberFormat="1" applyFont="1" applyProtection="1">
      <protection locked="0"/>
    </xf>
    <xf numFmtId="3" fontId="10" fillId="0" borderId="0" xfId="0" applyNumberFormat="1" applyFont="1" applyProtection="1">
      <protection locked="0"/>
    </xf>
    <xf numFmtId="0" fontId="12" fillId="0" borderId="1" xfId="0" applyFont="1" applyBorder="1" applyAlignment="1">
      <alignment vertical="top" wrapText="1"/>
    </xf>
    <xf numFmtId="0" fontId="5" fillId="6" borderId="1" xfId="0" applyFont="1" applyFill="1" applyBorder="1" applyAlignment="1">
      <alignment horizontal="left" vertical="top"/>
    </xf>
    <xf numFmtId="0" fontId="12" fillId="6" borderId="1" xfId="0" applyFont="1" applyFill="1" applyBorder="1" applyAlignment="1">
      <alignment horizontal="left" vertical="top"/>
    </xf>
    <xf numFmtId="0" fontId="5" fillId="6" borderId="1" xfId="0" applyFont="1" applyFill="1" applyBorder="1" applyAlignment="1">
      <alignment horizontal="left" vertical="top" wrapText="1"/>
    </xf>
    <xf numFmtId="166" fontId="5" fillId="6" borderId="1" xfId="0" applyNumberFormat="1" applyFont="1" applyFill="1" applyBorder="1" applyAlignment="1">
      <alignment horizontal="right" vertical="top"/>
    </xf>
    <xf numFmtId="169" fontId="4" fillId="6" borderId="1" xfId="0" applyNumberFormat="1" applyFont="1" applyFill="1" applyBorder="1" applyAlignment="1">
      <alignment horizontal="right" vertical="top" wrapText="1"/>
    </xf>
    <xf numFmtId="0" fontId="17" fillId="2" borderId="0" xfId="0" applyFont="1" applyFill="1" applyBorder="1" applyAlignment="1">
      <alignment horizontal="left" vertical="top"/>
    </xf>
    <xf numFmtId="168" fontId="17" fillId="2" borderId="0" xfId="29" applyNumberFormat="1" applyFont="1" applyFill="1" applyBorder="1" applyAlignment="1">
      <alignment horizontal="right" vertical="top" wrapText="1"/>
    </xf>
    <xf numFmtId="169" fontId="17" fillId="2" borderId="0" xfId="29" applyNumberFormat="1" applyFont="1" applyFill="1" applyBorder="1" applyAlignment="1">
      <alignment horizontal="right" vertical="top" wrapText="1"/>
    </xf>
    <xf numFmtId="0" fontId="17" fillId="2" borderId="0" xfId="0" applyFont="1" applyFill="1" applyBorder="1" applyAlignment="1">
      <alignment horizontal="left" vertical="top" wrapText="1"/>
    </xf>
    <xf numFmtId="169" fontId="12" fillId="0" borderId="1" xfId="0" applyNumberFormat="1" applyFont="1" applyBorder="1" applyAlignment="1">
      <alignment vertical="top" wrapText="1"/>
    </xf>
    <xf numFmtId="169" fontId="2" fillId="0" borderId="1" xfId="30" applyNumberFormat="1" applyFont="1" applyBorder="1" applyAlignment="1">
      <alignment horizontal="right" vertical="top"/>
    </xf>
    <xf numFmtId="169" fontId="2" fillId="0" borderId="1" xfId="0" applyNumberFormat="1" applyFont="1" applyBorder="1" applyAlignment="1">
      <alignment horizontal="right" vertical="top"/>
    </xf>
    <xf numFmtId="169" fontId="2" fillId="0" borderId="1" xfId="0" applyNumberFormat="1" applyFont="1" applyBorder="1" applyAlignment="1">
      <alignment horizontal="right" vertical="top" wrapText="1"/>
    </xf>
    <xf numFmtId="169" fontId="2" fillId="0" borderId="1" xfId="0" applyNumberFormat="1" applyFont="1" applyBorder="1" applyAlignment="1">
      <alignment wrapText="1"/>
    </xf>
    <xf numFmtId="0" fontId="2" fillId="0" borderId="1" xfId="0" applyFont="1" applyFill="1" applyBorder="1" applyAlignment="1">
      <alignment horizontal="left" vertical="top" wrapText="1"/>
    </xf>
    <xf numFmtId="169" fontId="2" fillId="0" borderId="1" xfId="0" applyNumberFormat="1" applyFont="1" applyFill="1" applyBorder="1" applyAlignment="1">
      <alignment horizontal="right"/>
    </xf>
    <xf numFmtId="0" fontId="2" fillId="2" borderId="0" xfId="0" applyFont="1" applyFill="1" applyAlignment="1">
      <alignment horizontal="left" vertical="top"/>
    </xf>
    <xf numFmtId="0" fontId="12" fillId="2" borderId="1" xfId="0" applyFont="1" applyFill="1" applyBorder="1" applyAlignment="1">
      <alignment horizontal="left" vertical="top" wrapText="1"/>
    </xf>
    <xf numFmtId="169" fontId="2" fillId="2" borderId="1" xfId="29" applyNumberFormat="1" applyFont="1" applyFill="1" applyBorder="1" applyAlignment="1">
      <alignment horizontal="right" vertical="top" wrapText="1"/>
    </xf>
    <xf numFmtId="169" fontId="12" fillId="2" borderId="1" xfId="29" applyNumberFormat="1" applyFont="1" applyFill="1" applyBorder="1" applyAlignment="1">
      <alignment horizontal="right" vertical="top" wrapText="1"/>
    </xf>
    <xf numFmtId="169" fontId="12" fillId="2" borderId="0" xfId="29" applyNumberFormat="1" applyFont="1" applyFill="1" applyBorder="1" applyAlignment="1">
      <alignment horizontal="right" vertical="top" wrapText="1"/>
    </xf>
    <xf numFmtId="0" fontId="2" fillId="2" borderId="1" xfId="0" applyFont="1" applyFill="1" applyBorder="1" applyAlignment="1">
      <alignment horizontal="left" vertical="top" wrapText="1"/>
    </xf>
    <xf numFmtId="0" fontId="13" fillId="2" borderId="1" xfId="0" applyFont="1" applyFill="1" applyBorder="1" applyAlignment="1">
      <alignment wrapText="1"/>
    </xf>
    <xf numFmtId="0" fontId="12" fillId="0" borderId="1" xfId="0" applyFont="1" applyBorder="1" applyAlignment="1">
      <alignment horizontal="center" vertical="center" wrapText="1"/>
    </xf>
    <xf numFmtId="3" fontId="2" fillId="0" borderId="1" xfId="0" applyNumberFormat="1" applyFont="1" applyBorder="1" applyAlignment="1" applyProtection="1">
      <alignment horizontal="right" vertical="center" wrapText="1"/>
      <protection locked="0"/>
    </xf>
    <xf numFmtId="0" fontId="12" fillId="0" borderId="1" xfId="0" applyFont="1" applyBorder="1" applyAlignment="1">
      <alignment vertical="center" wrapText="1"/>
    </xf>
    <xf numFmtId="3" fontId="12" fillId="0" borderId="1" xfId="0" applyNumberFormat="1" applyFont="1" applyBorder="1" applyAlignment="1" applyProtection="1">
      <alignment horizontal="right" vertical="center" wrapText="1"/>
      <protection locked="0"/>
    </xf>
    <xf numFmtId="169" fontId="12" fillId="0" borderId="1" xfId="0" applyNumberFormat="1" applyFont="1" applyBorder="1" applyAlignment="1" applyProtection="1">
      <alignment horizontal="right" vertical="center" wrapText="1"/>
      <protection locked="0"/>
    </xf>
    <xf numFmtId="0" fontId="2" fillId="0" borderId="1" xfId="0" applyFont="1" applyFill="1" applyBorder="1" applyAlignment="1">
      <alignment wrapText="1"/>
    </xf>
    <xf numFmtId="0" fontId="2" fillId="0" borderId="1" xfId="0" applyFont="1" applyFill="1" applyBorder="1" applyAlignment="1">
      <alignment vertical="center" wrapText="1"/>
    </xf>
    <xf numFmtId="3" fontId="2" fillId="0" borderId="1" xfId="0" applyNumberFormat="1" applyFont="1" applyFill="1" applyBorder="1" applyAlignment="1" applyProtection="1">
      <alignment horizontal="right" vertical="center" wrapText="1"/>
      <protection locked="0"/>
    </xf>
    <xf numFmtId="169" fontId="2" fillId="0" borderId="1" xfId="0" applyNumberFormat="1" applyFont="1" applyFill="1" applyBorder="1" applyAlignment="1" applyProtection="1">
      <alignment horizontal="right" vertical="center" wrapText="1"/>
      <protection locked="0"/>
    </xf>
    <xf numFmtId="0" fontId="2" fillId="0" borderId="1" xfId="0" applyFont="1" applyBorder="1" applyAlignment="1">
      <alignment vertical="center" wrapText="1"/>
    </xf>
    <xf numFmtId="171" fontId="2" fillId="0" borderId="1" xfId="29" applyNumberFormat="1" applyFont="1" applyBorder="1" applyAlignment="1">
      <alignment horizontal="center"/>
    </xf>
    <xf numFmtId="0" fontId="2" fillId="0" borderId="1" xfId="0" applyFont="1" applyBorder="1" applyAlignment="1">
      <alignment horizontal="center"/>
    </xf>
    <xf numFmtId="170" fontId="2" fillId="0" borderId="1" xfId="31" applyNumberFormat="1" applyFont="1" applyBorder="1" applyAlignment="1">
      <alignment horizontal="center"/>
    </xf>
    <xf numFmtId="169" fontId="2" fillId="0" borderId="1" xfId="0" applyNumberFormat="1" applyFont="1" applyBorder="1" applyAlignment="1" applyProtection="1">
      <alignment horizontal="right" vertical="center" wrapText="1"/>
      <protection locked="0"/>
    </xf>
    <xf numFmtId="0" fontId="12" fillId="0" borderId="1" xfId="0" applyFont="1" applyBorder="1" applyAlignment="1">
      <alignment horizontal="left" vertical="top"/>
    </xf>
    <xf numFmtId="0" fontId="12" fillId="0" borderId="1" xfId="0" applyFont="1" applyBorder="1" applyAlignment="1">
      <alignment horizontal="center" vertical="center"/>
    </xf>
    <xf numFmtId="169" fontId="12" fillId="0" borderId="1" xfId="0" applyNumberFormat="1" applyFont="1" applyBorder="1" applyAlignment="1">
      <alignment horizontal="center" vertical="center"/>
    </xf>
    <xf numFmtId="3" fontId="12" fillId="0" borderId="1" xfId="0" applyNumberFormat="1" applyFont="1" applyBorder="1" applyAlignment="1" applyProtection="1">
      <alignment horizontal="center" vertical="center" wrapText="1"/>
      <protection locked="0"/>
    </xf>
    <xf numFmtId="169" fontId="4" fillId="0" borderId="1" xfId="29" applyNumberFormat="1" applyFont="1" applyFill="1" applyBorder="1"/>
    <xf numFmtId="0" fontId="20" fillId="0" borderId="0" xfId="0" applyFont="1" applyAlignment="1">
      <alignment wrapText="1"/>
    </xf>
    <xf numFmtId="0" fontId="0" fillId="0" borderId="0" xfId="0" applyFont="1" applyAlignment="1">
      <alignment wrapText="1"/>
    </xf>
    <xf numFmtId="0" fontId="0" fillId="0" borderId="0" xfId="0" applyAlignment="1">
      <alignment wrapText="1"/>
    </xf>
    <xf numFmtId="173" fontId="0" fillId="0" borderId="0" xfId="30" applyNumberFormat="1" applyFont="1"/>
    <xf numFmtId="0" fontId="20" fillId="0" borderId="0" xfId="0" applyFont="1"/>
    <xf numFmtId="173" fontId="0" fillId="0" borderId="0" xfId="0" applyNumberFormat="1"/>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4" fillId="3" borderId="1" xfId="0" applyFont="1" applyFill="1" applyBorder="1" applyAlignment="1">
      <alignment horizontal="center" vertical="top"/>
    </xf>
    <xf numFmtId="0" fontId="5" fillId="3" borderId="1" xfId="0" applyFont="1" applyFill="1" applyBorder="1" applyAlignment="1">
      <alignment horizontal="left" vertical="top" wrapText="1"/>
    </xf>
    <xf numFmtId="3" fontId="5" fillId="0" borderId="1" xfId="0" applyNumberFormat="1" applyFont="1" applyBorder="1" applyAlignment="1">
      <alignment horizontal="right" vertical="top"/>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right" vertical="top"/>
    </xf>
    <xf numFmtId="0" fontId="5" fillId="0" borderId="0" xfId="0" applyFont="1" applyAlignment="1">
      <alignment horizontal="right" vertical="top"/>
    </xf>
    <xf numFmtId="0" fontId="9" fillId="0" borderId="1" xfId="0" applyFont="1" applyFill="1" applyBorder="1" applyAlignment="1">
      <alignment horizontal="left" vertical="top" wrapText="1"/>
    </xf>
    <xf numFmtId="3" fontId="9" fillId="0" borderId="1" xfId="0" applyNumberFormat="1" applyFont="1" applyFill="1" applyBorder="1" applyAlignment="1">
      <alignment horizontal="right" vertical="top"/>
    </xf>
    <xf numFmtId="3" fontId="13" fillId="0" borderId="1" xfId="28" applyNumberFormat="1" applyFont="1" applyFill="1" applyBorder="1" applyAlignment="1" applyProtection="1">
      <alignment horizontal="right" vertical="top"/>
    </xf>
    <xf numFmtId="0" fontId="9" fillId="0" borderId="1" xfId="0" applyFont="1" applyBorder="1" applyAlignment="1">
      <alignment horizontal="left" vertical="top" wrapText="1"/>
    </xf>
    <xf numFmtId="0" fontId="9" fillId="0" borderId="0" xfId="0" applyFont="1" applyFill="1" applyBorder="1" applyAlignment="1">
      <alignment horizontal="left" vertical="top" wrapText="1"/>
    </xf>
    <xf numFmtId="3" fontId="9" fillId="0" borderId="0" xfId="0" applyNumberFormat="1" applyFont="1" applyFill="1" applyBorder="1" applyAlignment="1">
      <alignment horizontal="right" vertical="top"/>
    </xf>
    <xf numFmtId="3" fontId="13" fillId="0" borderId="0" xfId="28" applyNumberFormat="1" applyFont="1" applyFill="1" applyBorder="1" applyAlignment="1" applyProtection="1">
      <alignment horizontal="right" vertical="top"/>
    </xf>
    <xf numFmtId="0" fontId="9" fillId="0" borderId="0" xfId="0" applyFont="1" applyBorder="1" applyAlignment="1">
      <alignment horizontal="left" vertical="top" wrapText="1"/>
    </xf>
    <xf numFmtId="0" fontId="4" fillId="4" borderId="1"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horizontal="center" vertical="center"/>
    </xf>
    <xf numFmtId="0" fontId="5" fillId="2" borderId="1" xfId="0" applyFont="1" applyFill="1" applyBorder="1"/>
    <xf numFmtId="171" fontId="5" fillId="0" borderId="1" xfId="28" applyNumberFormat="1" applyFont="1" applyBorder="1"/>
    <xf numFmtId="0" fontId="4" fillId="0" borderId="1" xfId="0" applyFont="1" applyFill="1" applyBorder="1"/>
    <xf numFmtId="171" fontId="4" fillId="0" borderId="1" xfId="28" applyNumberFormat="1" applyFont="1" applyFill="1" applyBorder="1"/>
    <xf numFmtId="0" fontId="0" fillId="0" borderId="0" xfId="0" applyFill="1" applyBorder="1"/>
    <xf numFmtId="3" fontId="0" fillId="0" borderId="0" xfId="0" applyNumberFormat="1"/>
    <xf numFmtId="9" fontId="0" fillId="0" borderId="0" xfId="31" applyFont="1"/>
    <xf numFmtId="0" fontId="20" fillId="3" borderId="1" xfId="0" applyFont="1" applyFill="1" applyBorder="1"/>
    <xf numFmtId="0" fontId="20" fillId="3" borderId="1" xfId="0" applyNumberFormat="1" applyFont="1" applyFill="1" applyBorder="1" applyAlignment="1">
      <alignment horizontal="center"/>
    </xf>
    <xf numFmtId="0" fontId="0" fillId="0" borderId="1" xfId="0" applyBorder="1"/>
    <xf numFmtId="169" fontId="0" fillId="0" borderId="1" xfId="0" applyNumberFormat="1" applyBorder="1"/>
    <xf numFmtId="169" fontId="0" fillId="4" borderId="1" xfId="0" applyNumberFormat="1" applyFill="1" applyBorder="1"/>
    <xf numFmtId="169" fontId="20" fillId="4" borderId="1" xfId="0" applyNumberFormat="1" applyFont="1" applyFill="1" applyBorder="1"/>
    <xf numFmtId="169" fontId="0" fillId="0" borderId="0" xfId="0" applyNumberFormat="1"/>
    <xf numFmtId="0" fontId="0" fillId="0" borderId="0" xfId="0" applyBorder="1"/>
    <xf numFmtId="0" fontId="20" fillId="3" borderId="3" xfId="0" applyNumberFormat="1" applyFont="1" applyFill="1" applyBorder="1" applyAlignment="1">
      <alignment horizontal="center"/>
    </xf>
    <xf numFmtId="169" fontId="20" fillId="4" borderId="3" xfId="0" applyNumberFormat="1" applyFont="1" applyFill="1" applyBorder="1"/>
    <xf numFmtId="0" fontId="0" fillId="3" borderId="1" xfId="0" applyFill="1" applyBorder="1"/>
    <xf numFmtId="0" fontId="0" fillId="0" borderId="1" xfId="0" applyFill="1" applyBorder="1"/>
    <xf numFmtId="3" fontId="0" fillId="0" borderId="1" xfId="0" applyNumberFormat="1" applyBorder="1"/>
    <xf numFmtId="3" fontId="20" fillId="3" borderId="1" xfId="0" applyNumberFormat="1" applyFont="1" applyFill="1" applyBorder="1"/>
    <xf numFmtId="0" fontId="0" fillId="0" borderId="1" xfId="0" applyBorder="1" applyAlignment="1">
      <alignment horizontal="center"/>
    </xf>
    <xf numFmtId="0" fontId="20" fillId="3" borderId="1" xfId="0" applyFont="1" applyFill="1" applyBorder="1" applyAlignment="1">
      <alignment wrapText="1"/>
    </xf>
    <xf numFmtId="0" fontId="20" fillId="0" borderId="1" xfId="0" applyFont="1" applyBorder="1" applyAlignment="1">
      <alignment horizontal="center"/>
    </xf>
    <xf numFmtId="0" fontId="0" fillId="0" borderId="1" xfId="0" applyBorder="1" applyAlignment="1">
      <alignment wrapText="1"/>
    </xf>
    <xf numFmtId="0" fontId="20" fillId="3" borderId="1" xfId="0" applyFont="1" applyFill="1" applyBorder="1" applyAlignment="1">
      <alignment horizontal="center"/>
    </xf>
    <xf numFmtId="0" fontId="20" fillId="7" borderId="0" xfId="0" applyFont="1" applyFill="1"/>
    <xf numFmtId="169" fontId="20" fillId="7" borderId="0" xfId="0" applyNumberFormat="1" applyFont="1" applyFill="1"/>
    <xf numFmtId="9" fontId="0" fillId="0" borderId="0" xfId="0" applyNumberFormat="1"/>
    <xf numFmtId="0" fontId="20" fillId="0" borderId="13" xfId="0" applyFont="1" applyBorder="1" applyAlignment="1">
      <alignment wrapText="1"/>
    </xf>
    <xf numFmtId="0" fontId="20" fillId="0" borderId="13" xfId="0" applyFont="1" applyBorder="1"/>
    <xf numFmtId="9" fontId="20" fillId="0" borderId="13" xfId="31" applyFont="1" applyBorder="1"/>
    <xf numFmtId="173" fontId="20" fillId="0" borderId="13" xfId="0" applyNumberFormat="1" applyFont="1" applyBorder="1"/>
    <xf numFmtId="0" fontId="4" fillId="0" borderId="0" xfId="0" applyFont="1" applyAlignment="1">
      <alignment wrapText="1"/>
    </xf>
    <xf numFmtId="169" fontId="16" fillId="0" borderId="0" xfId="0" applyNumberFormat="1" applyFont="1"/>
    <xf numFmtId="1" fontId="0" fillId="0" borderId="0" xfId="0" applyNumberFormat="1"/>
    <xf numFmtId="169" fontId="16" fillId="0" borderId="0" xfId="0" applyNumberFormat="1" applyFont="1" applyAlignment="1">
      <alignment horizontal="left" vertical="top"/>
    </xf>
    <xf numFmtId="0" fontId="20" fillId="0" borderId="0" xfId="0" applyFont="1" applyAlignment="1"/>
    <xf numFmtId="0" fontId="0" fillId="0" borderId="0" xfId="0" quotePrefix="1" applyAlignment="1">
      <alignment wrapText="1"/>
    </xf>
    <xf numFmtId="175" fontId="0" fillId="0" borderId="0" xfId="0" applyNumberFormat="1"/>
    <xf numFmtId="176" fontId="20" fillId="7" borderId="0" xfId="0" applyNumberFormat="1" applyFont="1" applyFill="1"/>
    <xf numFmtId="0" fontId="0" fillId="7" borderId="0" xfId="0" applyFill="1" applyAlignment="1">
      <alignment wrapText="1"/>
    </xf>
    <xf numFmtId="174" fontId="0" fillId="7" borderId="0" xfId="0" applyNumberFormat="1" applyFill="1" applyAlignment="1">
      <alignment wrapText="1"/>
    </xf>
    <xf numFmtId="177" fontId="0" fillId="0" borderId="1" xfId="28" applyNumberFormat="1" applyFont="1" applyBorder="1"/>
    <xf numFmtId="177" fontId="0" fillId="0" borderId="1" xfId="0" applyNumberFormat="1" applyBorder="1"/>
    <xf numFmtId="177" fontId="0" fillId="0" borderId="2" xfId="28" applyNumberFormat="1" applyFont="1" applyBorder="1"/>
    <xf numFmtId="177" fontId="25" fillId="9" borderId="17" xfId="81" applyNumberFormat="1" applyFont="1" applyFill="1" applyBorder="1"/>
    <xf numFmtId="0" fontId="20" fillId="0" borderId="1" xfId="0" applyFont="1" applyBorder="1"/>
    <xf numFmtId="177" fontId="20" fillId="0" borderId="1" xfId="28" applyNumberFormat="1" applyFont="1" applyBorder="1"/>
    <xf numFmtId="0" fontId="0" fillId="0" borderId="1" xfId="0" applyFill="1" applyBorder="1" applyAlignment="1">
      <alignment wrapText="1"/>
    </xf>
    <xf numFmtId="0" fontId="26" fillId="0" borderId="1" xfId="0" applyFont="1" applyFill="1" applyBorder="1" applyAlignment="1">
      <alignment wrapText="1"/>
    </xf>
    <xf numFmtId="0" fontId="26" fillId="0" borderId="1" xfId="0" applyFont="1" applyBorder="1" applyAlignment="1">
      <alignment wrapText="1"/>
    </xf>
    <xf numFmtId="177" fontId="20" fillId="0" borderId="1" xfId="0" applyNumberFormat="1" applyFont="1" applyBorder="1"/>
    <xf numFmtId="177" fontId="20" fillId="0" borderId="2" xfId="28" applyNumberFormat="1" applyFont="1" applyBorder="1"/>
    <xf numFmtId="0" fontId="20" fillId="0" borderId="0" xfId="0" applyFont="1" applyAlignment="1">
      <alignment vertical="top"/>
    </xf>
    <xf numFmtId="0" fontId="0" fillId="0" borderId="0" xfId="0" applyAlignment="1">
      <alignment vertical="top" wrapText="1"/>
    </xf>
    <xf numFmtId="0" fontId="20" fillId="4" borderId="1" xfId="0" applyFont="1" applyFill="1" applyBorder="1"/>
    <xf numFmtId="0" fontId="0" fillId="7" borderId="0" xfId="0" applyFill="1"/>
    <xf numFmtId="173" fontId="20" fillId="7" borderId="0" xfId="30" applyNumberFormat="1" applyFont="1" applyFill="1"/>
    <xf numFmtId="173" fontId="20" fillId="10" borderId="0" xfId="30" applyNumberFormat="1" applyFont="1" applyFill="1" applyAlignment="1">
      <alignment wrapText="1"/>
    </xf>
    <xf numFmtId="173" fontId="0" fillId="10" borderId="0" xfId="30" applyNumberFormat="1" applyFont="1" applyFill="1"/>
    <xf numFmtId="173" fontId="20" fillId="10" borderId="13" xfId="30" applyNumberFormat="1" applyFont="1" applyFill="1" applyBorder="1"/>
    <xf numFmtId="0" fontId="20" fillId="10" borderId="0" xfId="0" applyFont="1" applyFill="1" applyAlignment="1">
      <alignment wrapText="1"/>
    </xf>
    <xf numFmtId="173" fontId="0" fillId="10" borderId="0" xfId="0" applyNumberFormat="1" applyFill="1"/>
    <xf numFmtId="173" fontId="20" fillId="10" borderId="13" xfId="0" applyNumberFormat="1" applyFont="1" applyFill="1" applyBorder="1"/>
    <xf numFmtId="172" fontId="0" fillId="0" borderId="0" xfId="29" applyNumberFormat="1" applyFont="1"/>
    <xf numFmtId="0" fontId="20" fillId="0" borderId="0" xfId="0" applyFont="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20" fillId="3" borderId="1" xfId="0" applyFont="1" applyFill="1" applyBorder="1" applyAlignment="1">
      <alignment horizontal="left" vertical="center"/>
    </xf>
    <xf numFmtId="0" fontId="0" fillId="0" borderId="1" xfId="0" applyBorder="1" applyAlignment="1"/>
    <xf numFmtId="0" fontId="20" fillId="3" borderId="1" xfId="0" applyFont="1" applyFill="1" applyBorder="1" applyAlignment="1">
      <alignment horizontal="center"/>
    </xf>
    <xf numFmtId="0" fontId="0" fillId="0" borderId="11" xfId="0" applyBorder="1" applyAlignment="1">
      <alignment horizontal="center" vertical="center"/>
    </xf>
    <xf numFmtId="0" fontId="25" fillId="9" borderId="15" xfId="81" applyFont="1" applyFill="1" applyBorder="1" applyAlignment="1">
      <alignment horizontal="center" vertical="top" wrapText="1"/>
    </xf>
    <xf numFmtId="0" fontId="25" fillId="9" borderId="16" xfId="81" applyFont="1" applyFill="1" applyBorder="1" applyAlignment="1">
      <alignment horizontal="center" vertical="top" wrapText="1"/>
    </xf>
    <xf numFmtId="0" fontId="20" fillId="0" borderId="1" xfId="0" applyFont="1" applyBorder="1" applyAlignment="1"/>
    <xf numFmtId="0" fontId="20" fillId="0" borderId="1" xfId="0" applyFont="1" applyBorder="1" applyAlignment="1">
      <alignment horizontal="center"/>
    </xf>
    <xf numFmtId="0" fontId="20" fillId="0" borderId="10" xfId="0" applyFont="1" applyBorder="1" applyAlignment="1">
      <alignment horizontal="center" wrapText="1"/>
    </xf>
    <xf numFmtId="0" fontId="0" fillId="0" borderId="12" xfId="0" applyBorder="1" applyAlignment="1">
      <alignment wrapText="1"/>
    </xf>
    <xf numFmtId="0" fontId="0" fillId="0" borderId="12" xfId="0" applyBorder="1" applyAlignment="1">
      <alignment horizontal="center" wrapText="1"/>
    </xf>
    <xf numFmtId="0" fontId="20" fillId="0" borderId="10" xfId="0" applyFont="1" applyBorder="1" applyAlignment="1">
      <alignment horizontal="center"/>
    </xf>
    <xf numFmtId="0" fontId="0" fillId="0" borderId="12" xfId="0" applyBorder="1" applyAlignment="1">
      <alignment horizontal="center"/>
    </xf>
    <xf numFmtId="0" fontId="20" fillId="0" borderId="1"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left" vertical="top" wrapText="1"/>
    </xf>
    <xf numFmtId="0" fontId="20" fillId="4" borderId="0" xfId="0" applyFont="1" applyFill="1" applyAlignment="1"/>
    <xf numFmtId="0" fontId="0" fillId="4" borderId="0" xfId="0" applyFill="1" applyAlignment="1"/>
    <xf numFmtId="0" fontId="4" fillId="3" borderId="2"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1"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3" borderId="2" xfId="0" applyFont="1" applyFill="1" applyBorder="1" applyAlignment="1">
      <alignment horizontal="center"/>
    </xf>
    <xf numFmtId="0" fontId="4" fillId="3" borderId="3" xfId="0" applyFont="1" applyFill="1" applyBorder="1" applyAlignment="1">
      <alignment horizontal="center"/>
    </xf>
    <xf numFmtId="169" fontId="5" fillId="0" borderId="1" xfId="0" applyNumberFormat="1"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 fillId="2" borderId="0" xfId="0" applyFont="1" applyFill="1" applyAlignment="1">
      <alignment horizontal="left" vertical="top" wrapText="1"/>
    </xf>
    <xf numFmtId="0" fontId="5" fillId="0" borderId="0" xfId="0" applyFont="1" applyAlignment="1">
      <alignment horizontal="left" vertical="center" wrapText="1"/>
    </xf>
    <xf numFmtId="0" fontId="2" fillId="0" borderId="0" xfId="0" applyFont="1" applyAlignment="1">
      <alignment horizontal="left" vertical="top" wrapText="1"/>
    </xf>
    <xf numFmtId="0" fontId="4" fillId="2" borderId="1" xfId="0" applyFont="1" applyFill="1" applyBorder="1" applyAlignment="1">
      <alignment horizontal="left" wrapText="1"/>
    </xf>
    <xf numFmtId="0" fontId="12" fillId="0" borderId="1" xfId="0" applyFont="1" applyBorder="1" applyAlignment="1">
      <alignment horizontal="center" vertical="center" wrapText="1"/>
    </xf>
    <xf numFmtId="1" fontId="12" fillId="0" borderId="1" xfId="0" applyNumberFormat="1" applyFont="1" applyBorder="1" applyAlignment="1" applyProtection="1">
      <alignment horizontal="center" vertical="center" wrapText="1"/>
      <protection locked="0"/>
    </xf>
  </cellXfs>
  <cellStyles count="86">
    <cellStyle name="Calculation" xfId="81" builtinId="22"/>
    <cellStyle name="Comma" xfId="29" builtinId="3"/>
    <cellStyle name="Comma 2" xfId="2"/>
    <cellStyle name="Comma 2 2" xfId="3"/>
    <cellStyle name="Comma 2 3" xfId="4"/>
    <cellStyle name="Comma 3" xfId="5"/>
    <cellStyle name="Comma 3 2" xfId="28"/>
    <cellStyle name="Comma 4" xfId="6"/>
    <cellStyle name="Comma 4 2" xfId="7"/>
    <cellStyle name="Comma 4 2 2" xfId="8"/>
    <cellStyle name="Comma 5" xfId="9"/>
    <cellStyle name="Comma 6" xfId="10"/>
    <cellStyle name="Currency" xfId="30" builtinId="4"/>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3" builtinId="9" hidden="1"/>
    <cellStyle name="Followed Hyperlink" xfId="85" builtinId="9"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2" builtinId="8" hidden="1"/>
    <cellStyle name="Hyperlink" xfId="84" builtinId="8" hidden="1"/>
    <cellStyle name="Hyperlink 2" xfId="11"/>
    <cellStyle name="Normal" xfId="0" builtinId="0"/>
    <cellStyle name="Normal 2" xfId="1"/>
    <cellStyle name="Normal 2 2" xfId="12"/>
    <cellStyle name="Normal 2 2 2" xfId="27"/>
    <cellStyle name="Normal 2 3" xfId="13"/>
    <cellStyle name="Normal 3" xfId="14"/>
    <cellStyle name="Normal 4" xfId="15"/>
    <cellStyle name="Normal 5" xfId="16"/>
    <cellStyle name="Normal 6" xfId="17"/>
    <cellStyle name="Normal 7" xfId="18"/>
    <cellStyle name="Percent" xfId="31" builtinId="5"/>
    <cellStyle name="Percent 2" xfId="19"/>
    <cellStyle name="Percent 2 2" xfId="20"/>
    <cellStyle name="Percent 2 3" xfId="21"/>
    <cellStyle name="Percent 3" xfId="22"/>
    <cellStyle name="Percent 4" xfId="23"/>
    <cellStyle name="Percent 5" xfId="24"/>
    <cellStyle name="Percent 6" xfId="25"/>
    <cellStyle name="Percent 7"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1704975" cy="413606"/>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1"/>
          <a:ext cx="1704975" cy="41360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2"/>
  <sheetViews>
    <sheetView zoomScale="80" zoomScaleNormal="80" zoomScalePageLayoutView="80" workbookViewId="0">
      <selection activeCell="F16" sqref="F16"/>
    </sheetView>
  </sheetViews>
  <sheetFormatPr baseColWidth="10" defaultColWidth="8.83203125" defaultRowHeight="12" x14ac:dyDescent="0"/>
  <cols>
    <col min="1" max="1" width="4.1640625" style="1" customWidth="1"/>
    <col min="2" max="2" width="14.83203125" style="3" customWidth="1"/>
    <col min="3" max="3" width="30" style="3" customWidth="1"/>
    <col min="4" max="4" width="24.1640625" style="2" customWidth="1"/>
    <col min="5" max="5" width="26.6640625" style="12" customWidth="1"/>
    <col min="6" max="6" width="98.5" style="1" customWidth="1"/>
    <col min="7" max="16384" width="8.83203125" style="1"/>
  </cols>
  <sheetData>
    <row r="1" spans="1:7">
      <c r="A1" s="3"/>
    </row>
    <row r="2" spans="1:7">
      <c r="A2" s="3"/>
    </row>
    <row r="3" spans="1:7">
      <c r="A3" s="3"/>
    </row>
    <row r="4" spans="1:7" s="18" customFormat="1">
      <c r="A4" s="14" t="s">
        <v>118</v>
      </c>
      <c r="B4" s="14"/>
      <c r="C4" s="15"/>
      <c r="D4" s="16"/>
      <c r="E4" s="17"/>
    </row>
    <row r="5" spans="1:7">
      <c r="A5" s="93" t="s">
        <v>128</v>
      </c>
    </row>
    <row r="6" spans="1:7">
      <c r="A6" s="93"/>
    </row>
    <row r="7" spans="1:7">
      <c r="A7" s="1" t="s">
        <v>93</v>
      </c>
      <c r="B7" s="1"/>
    </row>
    <row r="8" spans="1:7">
      <c r="A8" s="1" t="s">
        <v>156</v>
      </c>
      <c r="B8" s="1"/>
    </row>
    <row r="9" spans="1:7">
      <c r="A9" s="1" t="s">
        <v>48</v>
      </c>
      <c r="B9" s="1"/>
    </row>
    <row r="10" spans="1:7">
      <c r="A10" s="56" t="s">
        <v>150</v>
      </c>
      <c r="B10" s="10"/>
    </row>
    <row r="12" spans="1:7" s="4" customFormat="1" ht="157.5" customHeight="1">
      <c r="A12" s="40"/>
      <c r="B12" s="5" t="s">
        <v>0</v>
      </c>
      <c r="C12" s="5" t="s">
        <v>92</v>
      </c>
      <c r="D12" s="6" t="s">
        <v>90</v>
      </c>
      <c r="E12" s="138" t="s">
        <v>152</v>
      </c>
      <c r="F12" s="5" t="s">
        <v>97</v>
      </c>
      <c r="G12" s="9"/>
    </row>
    <row r="13" spans="1:7" ht="136.5" customHeight="1">
      <c r="A13" s="41">
        <v>1</v>
      </c>
      <c r="B13" s="7" t="s">
        <v>2</v>
      </c>
      <c r="C13" s="7" t="s">
        <v>94</v>
      </c>
      <c r="D13" s="11">
        <v>224369</v>
      </c>
      <c r="E13" s="139">
        <f>'Guinea Bissau'!I27</f>
        <v>2050806.7912333054</v>
      </c>
      <c r="F13" s="79" t="s">
        <v>157</v>
      </c>
    </row>
    <row r="14" spans="1:7" ht="169.5" customHeight="1">
      <c r="A14" s="41">
        <v>2</v>
      </c>
      <c r="B14" s="7" t="s">
        <v>3</v>
      </c>
      <c r="C14" s="7" t="s">
        <v>68</v>
      </c>
      <c r="D14" s="8">
        <v>4497209</v>
      </c>
      <c r="E14" s="140">
        <v>468413</v>
      </c>
      <c r="F14" s="80" t="s">
        <v>164</v>
      </c>
    </row>
    <row r="15" spans="1:7" ht="222.75" customHeight="1">
      <c r="A15" s="41">
        <v>3</v>
      </c>
      <c r="B15" s="7" t="s">
        <v>1</v>
      </c>
      <c r="C15" s="7" t="s">
        <v>65</v>
      </c>
      <c r="D15" s="8">
        <v>150740</v>
      </c>
      <c r="E15" s="139">
        <f>DRC!M7</f>
        <v>332795</v>
      </c>
      <c r="F15" s="80" t="s">
        <v>158</v>
      </c>
    </row>
    <row r="16" spans="1:7" ht="129.75" customHeight="1">
      <c r="A16" s="41">
        <v>4</v>
      </c>
      <c r="B16" s="7" t="s">
        <v>27</v>
      </c>
      <c r="C16" s="7" t="s">
        <v>66</v>
      </c>
      <c r="D16" s="19">
        <v>340665</v>
      </c>
      <c r="E16" s="13">
        <v>0</v>
      </c>
      <c r="F16" s="80" t="s">
        <v>160</v>
      </c>
    </row>
    <row r="17" spans="1:6" ht="164.25" customHeight="1">
      <c r="A17" s="41">
        <v>5</v>
      </c>
      <c r="B17" s="7" t="s">
        <v>43</v>
      </c>
      <c r="C17" s="7" t="s">
        <v>95</v>
      </c>
      <c r="D17" s="8">
        <v>634449</v>
      </c>
      <c r="E17" s="139">
        <f>Cameroon!B32</f>
        <v>308599.45906899392</v>
      </c>
      <c r="F17" s="80" t="s">
        <v>159</v>
      </c>
    </row>
    <row r="18" spans="1:6" ht="139.5" customHeight="1">
      <c r="A18" s="41">
        <v>6</v>
      </c>
      <c r="B18" s="7" t="s">
        <v>91</v>
      </c>
      <c r="C18" s="7" t="s">
        <v>96</v>
      </c>
      <c r="D18" s="8">
        <v>288298</v>
      </c>
      <c r="E18" s="141">
        <f>Guinea!B13</f>
        <v>822161.86866105464</v>
      </c>
      <c r="F18" s="55" t="s">
        <v>161</v>
      </c>
    </row>
    <row r="19" spans="1:6" ht="141" customHeight="1">
      <c r="A19" s="41">
        <v>7</v>
      </c>
      <c r="B19" s="7" t="s">
        <v>47</v>
      </c>
      <c r="C19" s="7" t="s">
        <v>67</v>
      </c>
      <c r="D19" s="8">
        <v>93750</v>
      </c>
      <c r="E19" s="140">
        <f>'Cote d''Ivoire'!C10</f>
        <v>212053.13679759725</v>
      </c>
      <c r="F19" s="80" t="s">
        <v>162</v>
      </c>
    </row>
    <row r="20" spans="1:6">
      <c r="A20" s="41"/>
      <c r="B20" s="52" t="s">
        <v>127</v>
      </c>
      <c r="C20" s="7"/>
      <c r="D20" s="54">
        <f>SUM(D13:D19)</f>
        <v>6229480</v>
      </c>
      <c r="E20" s="53">
        <f>SUM(E13:E19)</f>
        <v>4194829.2557609519</v>
      </c>
      <c r="F20" s="41"/>
    </row>
    <row r="21" spans="1:6" ht="48">
      <c r="A21" s="41"/>
      <c r="B21" s="7" t="s">
        <v>149</v>
      </c>
      <c r="C21" s="7"/>
      <c r="D21" s="8"/>
      <c r="E21" s="120">
        <f>E20*0.1431</f>
        <v>600280.06649939227</v>
      </c>
      <c r="F21" s="7" t="s">
        <v>163</v>
      </c>
    </row>
    <row r="22" spans="1:6">
      <c r="A22" s="129"/>
      <c r="B22" s="130" t="s">
        <v>126</v>
      </c>
      <c r="C22" s="131"/>
      <c r="D22" s="132"/>
      <c r="E22" s="133">
        <f>E20+E21</f>
        <v>4795109.3222603444</v>
      </c>
      <c r="F22" s="129"/>
    </row>
  </sheetData>
  <pageMargins left="0.7" right="0.7" top="0.75" bottom="0.75" header="0.3" footer="0.3"/>
  <pageSetup paperSize="8" scale="66"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M31" sqref="M31"/>
    </sheetView>
  </sheetViews>
  <sheetFormatPr baseColWidth="10" defaultColWidth="11.5" defaultRowHeight="12" x14ac:dyDescent="0"/>
  <cols>
    <col min="1" max="1" width="14.33203125" style="56" customWidth="1"/>
    <col min="2" max="2" width="11.5" style="56"/>
    <col min="3" max="3" width="12.1640625" style="56" customWidth="1"/>
    <col min="4" max="4" width="17.6640625" style="56" customWidth="1"/>
    <col min="5" max="5" width="11.5" style="56"/>
    <col min="6" max="6" width="13.83203125" style="56" customWidth="1"/>
    <col min="7" max="7" width="10.33203125" style="56" customWidth="1"/>
    <col min="8" max="8" width="14.6640625" style="56" customWidth="1"/>
    <col min="9" max="9" width="11" style="56" customWidth="1"/>
    <col min="10" max="10" width="14.5" style="56" customWidth="1"/>
    <col min="11" max="11" width="10.5" style="56" customWidth="1"/>
    <col min="12" max="12" width="12.6640625" style="56" bestFit="1" customWidth="1"/>
    <col min="13" max="13" width="10.83203125" style="56" customWidth="1"/>
    <col min="14" max="14" width="12.6640625" style="56" bestFit="1" customWidth="1"/>
    <col min="15" max="15" width="9.83203125" style="56" customWidth="1"/>
    <col min="16" max="16384" width="11.5" style="56"/>
  </cols>
  <sheetData>
    <row r="1" spans="1:15">
      <c r="A1" s="57" t="s">
        <v>187</v>
      </c>
      <c r="B1" s="57"/>
      <c r="C1" s="57"/>
      <c r="D1" s="57"/>
      <c r="E1" s="57"/>
    </row>
    <row r="3" spans="1:15" ht="36">
      <c r="A3" s="58" t="s">
        <v>70</v>
      </c>
      <c r="B3" s="128" t="s">
        <v>71</v>
      </c>
      <c r="C3" s="28" t="s">
        <v>75</v>
      </c>
      <c r="D3" s="28" t="s">
        <v>76</v>
      </c>
      <c r="E3" s="28" t="s">
        <v>77</v>
      </c>
      <c r="F3" s="308">
        <v>2017</v>
      </c>
      <c r="G3" s="308"/>
      <c r="H3" s="308">
        <v>2018</v>
      </c>
      <c r="I3" s="308"/>
      <c r="J3" s="308">
        <v>2019</v>
      </c>
      <c r="K3" s="308"/>
      <c r="L3" s="308">
        <v>2020</v>
      </c>
      <c r="M3" s="308"/>
      <c r="N3" s="308">
        <v>2021</v>
      </c>
      <c r="O3" s="308"/>
    </row>
    <row r="4" spans="1:15" ht="24">
      <c r="A4" s="59"/>
      <c r="B4" s="121"/>
      <c r="C4" s="121"/>
      <c r="D4" s="121"/>
      <c r="E4" s="121"/>
      <c r="F4" s="152" t="s">
        <v>140</v>
      </c>
      <c r="G4" s="152" t="s">
        <v>137</v>
      </c>
      <c r="H4" s="152" t="s">
        <v>140</v>
      </c>
      <c r="I4" s="152" t="s">
        <v>137</v>
      </c>
      <c r="J4" s="152" t="s">
        <v>140</v>
      </c>
      <c r="K4" s="152" t="s">
        <v>137</v>
      </c>
      <c r="L4" s="152" t="s">
        <v>140</v>
      </c>
      <c r="M4" s="152" t="s">
        <v>137</v>
      </c>
      <c r="N4" s="152" t="s">
        <v>140</v>
      </c>
      <c r="O4" s="152" t="s">
        <v>137</v>
      </c>
    </row>
    <row r="5" spans="1:15">
      <c r="A5" s="59" t="s">
        <v>74</v>
      </c>
      <c r="B5" s="122" t="s">
        <v>74</v>
      </c>
      <c r="C5" s="62">
        <v>423728</v>
      </c>
      <c r="D5" s="89">
        <v>77.7</v>
      </c>
      <c r="E5" s="60">
        <v>54.7</v>
      </c>
      <c r="F5" s="153">
        <v>549444000</v>
      </c>
      <c r="G5" s="153">
        <f>F5/9472.1088</f>
        <v>58006.512763029074</v>
      </c>
      <c r="H5" s="153">
        <v>604387000</v>
      </c>
      <c r="I5" s="153">
        <f>H5/9472.1088</f>
        <v>63807.016236975658</v>
      </c>
      <c r="J5" s="153">
        <v>664825700</v>
      </c>
      <c r="K5" s="153">
        <f>J5/9472.1088</f>
        <v>70187.71786067322</v>
      </c>
      <c r="L5" s="153">
        <v>731308270</v>
      </c>
      <c r="M5" s="153">
        <f>L5/9472.1088</f>
        <v>77206.489646740549</v>
      </c>
      <c r="N5" s="153">
        <v>804439097</v>
      </c>
      <c r="O5" s="153">
        <f>N5/9472.1088</f>
        <v>84927.138611414601</v>
      </c>
    </row>
    <row r="6" spans="1:15">
      <c r="A6" s="59" t="s">
        <v>74</v>
      </c>
      <c r="B6" s="122" t="s">
        <v>72</v>
      </c>
      <c r="C6" s="62">
        <v>183135</v>
      </c>
      <c r="D6" s="89">
        <v>79.2</v>
      </c>
      <c r="E6" s="60">
        <v>28.8</v>
      </c>
      <c r="F6" s="153">
        <v>272335000</v>
      </c>
      <c r="G6" s="153">
        <f t="shared" ref="G6:G9" si="0">F6/9472.1088</f>
        <v>28751.253363981628</v>
      </c>
      <c r="H6" s="153">
        <v>299572000</v>
      </c>
      <c r="I6" s="153">
        <f t="shared" ref="I6:I9" si="1">H6/9472.1088</f>
        <v>31626.748206270604</v>
      </c>
      <c r="J6" s="153">
        <v>329529200</v>
      </c>
      <c r="K6" s="153">
        <f t="shared" ref="K6:K9" si="2">J6/9472.1088</f>
        <v>34789.423026897661</v>
      </c>
      <c r="L6" s="153">
        <v>362482120</v>
      </c>
      <c r="M6" s="153">
        <f t="shared" ref="M6:M9" si="3">L6/9472.1088</f>
        <v>38268.365329587432</v>
      </c>
      <c r="N6" s="153">
        <v>398730332</v>
      </c>
      <c r="O6" s="153">
        <f t="shared" ref="O6:O9" si="4">N6/9472.1088</f>
        <v>42095.201862546171</v>
      </c>
    </row>
    <row r="7" spans="1:15">
      <c r="A7" s="59" t="s">
        <v>74</v>
      </c>
      <c r="B7" s="122" t="s">
        <v>73</v>
      </c>
      <c r="C7" s="62">
        <v>122187</v>
      </c>
      <c r="D7" s="89">
        <v>70</v>
      </c>
      <c r="E7" s="60">
        <v>17.2</v>
      </c>
      <c r="F7" s="153">
        <v>334012000</v>
      </c>
      <c r="G7" s="153">
        <f t="shared" si="0"/>
        <v>35262.686171848029</v>
      </c>
      <c r="H7" s="153">
        <v>367416000</v>
      </c>
      <c r="I7" s="153">
        <f t="shared" si="1"/>
        <v>38789.250393745475</v>
      </c>
      <c r="J7" s="153">
        <v>404157600</v>
      </c>
      <c r="K7" s="153">
        <f t="shared" si="2"/>
        <v>42668.175433120028</v>
      </c>
      <c r="L7" s="153">
        <v>444573360</v>
      </c>
      <c r="M7" s="153">
        <f t="shared" si="3"/>
        <v>46934.992976432026</v>
      </c>
      <c r="N7" s="153">
        <v>489030696</v>
      </c>
      <c r="O7" s="153">
        <f t="shared" si="4"/>
        <v>51628.49227407523</v>
      </c>
    </row>
    <row r="8" spans="1:15">
      <c r="A8" s="59"/>
      <c r="B8" s="122" t="s">
        <v>138</v>
      </c>
      <c r="C8" s="122"/>
      <c r="D8" s="122"/>
      <c r="E8" s="122"/>
      <c r="F8" s="153">
        <v>50309000</v>
      </c>
      <c r="G8" s="153">
        <f t="shared" si="0"/>
        <v>5311.2776745131978</v>
      </c>
      <c r="H8" s="153">
        <v>50309000</v>
      </c>
      <c r="I8" s="153">
        <f t="shared" si="1"/>
        <v>5311.2776745131978</v>
      </c>
      <c r="J8" s="153">
        <v>55339900</v>
      </c>
      <c r="K8" s="153">
        <f t="shared" si="2"/>
        <v>5842.4054419645181</v>
      </c>
      <c r="L8" s="153">
        <v>60873890</v>
      </c>
      <c r="M8" s="153">
        <f t="shared" si="3"/>
        <v>6426.6459861609701</v>
      </c>
      <c r="N8" s="153">
        <v>66961279</v>
      </c>
      <c r="O8" s="153">
        <f t="shared" si="4"/>
        <v>7069.3105847770667</v>
      </c>
    </row>
    <row r="9" spans="1:15">
      <c r="A9" s="59"/>
      <c r="B9" s="122" t="s">
        <v>139</v>
      </c>
      <c r="C9" s="122"/>
      <c r="D9" s="122"/>
      <c r="E9" s="122"/>
      <c r="F9" s="153">
        <v>17066000</v>
      </c>
      <c r="G9" s="153">
        <f t="shared" si="0"/>
        <v>1801.7107235930398</v>
      </c>
      <c r="H9" s="153">
        <v>17066000</v>
      </c>
      <c r="I9" s="153">
        <f t="shared" si="1"/>
        <v>1801.7107235930398</v>
      </c>
      <c r="J9" s="153">
        <v>18772600</v>
      </c>
      <c r="K9" s="153">
        <f t="shared" si="2"/>
        <v>1981.8817959523437</v>
      </c>
      <c r="L9" s="153">
        <v>20649860</v>
      </c>
      <c r="M9" s="153">
        <f t="shared" si="3"/>
        <v>2180.069975547578</v>
      </c>
      <c r="N9" s="153">
        <v>22714846</v>
      </c>
      <c r="O9" s="153">
        <f t="shared" si="4"/>
        <v>2398.0769731023361</v>
      </c>
    </row>
    <row r="10" spans="1:15" s="91" customFormat="1" ht="24">
      <c r="A10" s="157"/>
      <c r="B10" s="158" t="s">
        <v>129</v>
      </c>
      <c r="C10" s="158"/>
      <c r="D10" s="158"/>
      <c r="E10" s="158"/>
      <c r="F10" s="159">
        <f>G10*9472.1088</f>
        <v>63576794.265600003</v>
      </c>
      <c r="G10" s="160">
        <v>6712</v>
      </c>
      <c r="H10" s="159">
        <f>I10*9472.1088</f>
        <v>66755633.978880003</v>
      </c>
      <c r="I10" s="160">
        <f>G10*1.05</f>
        <v>7047.6</v>
      </c>
      <c r="J10" s="159">
        <f>K10*9472.1088</f>
        <v>70093415.677824005</v>
      </c>
      <c r="K10" s="160">
        <f>I10*1.05</f>
        <v>7399.9800000000005</v>
      </c>
      <c r="L10" s="159">
        <f>M10*9472.1088</f>
        <v>73598086.461715207</v>
      </c>
      <c r="M10" s="160">
        <f>K10*1.05</f>
        <v>7769.9790000000012</v>
      </c>
      <c r="N10" s="159">
        <f>O10*9472.1088</f>
        <v>77277990.784800977</v>
      </c>
      <c r="O10" s="160">
        <f>M10*1.05</f>
        <v>8158.4779500000013</v>
      </c>
    </row>
    <row r="11" spans="1:15">
      <c r="A11" s="59"/>
      <c r="B11" s="154" t="s">
        <v>69</v>
      </c>
      <c r="C11" s="154"/>
      <c r="D11" s="154"/>
      <c r="E11" s="154"/>
      <c r="F11" s="155">
        <f t="shared" ref="F11:O11" si="5">SUM(F5:F10)</f>
        <v>1286742794.2656</v>
      </c>
      <c r="G11" s="156">
        <f t="shared" si="5"/>
        <v>135845.44069696497</v>
      </c>
      <c r="H11" s="155">
        <f t="shared" si="5"/>
        <v>1405505633.9788799</v>
      </c>
      <c r="I11" s="156">
        <f t="shared" si="5"/>
        <v>148383.60323509798</v>
      </c>
      <c r="J11" s="155">
        <f t="shared" si="5"/>
        <v>1542718415.677824</v>
      </c>
      <c r="K11" s="156">
        <f t="shared" si="5"/>
        <v>162869.58355860776</v>
      </c>
      <c r="L11" s="155">
        <f t="shared" si="5"/>
        <v>1693485586.4617152</v>
      </c>
      <c r="M11" s="156">
        <f t="shared" si="5"/>
        <v>178786.54291446853</v>
      </c>
      <c r="N11" s="155">
        <f t="shared" si="5"/>
        <v>1859154240.784801</v>
      </c>
      <c r="O11" s="156">
        <f t="shared" si="5"/>
        <v>196276.6982559154</v>
      </c>
    </row>
    <row r="12" spans="1:15">
      <c r="A12" s="63"/>
      <c r="B12" s="63"/>
      <c r="C12" s="63"/>
      <c r="D12" s="63"/>
      <c r="E12" s="63"/>
      <c r="F12" s="63"/>
      <c r="G12" s="63"/>
      <c r="H12" s="63"/>
      <c r="I12" s="63"/>
      <c r="J12" s="63"/>
      <c r="K12" s="63"/>
      <c r="L12" s="63"/>
      <c r="M12" s="63"/>
      <c r="N12" s="63"/>
      <c r="O12" s="63"/>
    </row>
    <row r="13" spans="1:15">
      <c r="A13" s="63" t="s">
        <v>135</v>
      </c>
      <c r="B13" s="87">
        <f>SUM(G11+I11+K11+M11+O11)</f>
        <v>822161.86866105464</v>
      </c>
      <c r="C13" s="63"/>
      <c r="D13" s="63"/>
      <c r="E13" s="63"/>
      <c r="F13" s="63"/>
      <c r="G13" s="63"/>
      <c r="H13" s="63"/>
      <c r="I13" s="63"/>
      <c r="J13" s="63"/>
      <c r="K13" s="63"/>
      <c r="L13" s="63"/>
      <c r="M13" s="63"/>
      <c r="N13" s="63"/>
      <c r="O13" s="63"/>
    </row>
    <row r="15" spans="1:15">
      <c r="A15" s="56" t="s">
        <v>78</v>
      </c>
    </row>
    <row r="16" spans="1:15">
      <c r="A16" s="56" t="s">
        <v>146</v>
      </c>
    </row>
  </sheetData>
  <mergeCells count="5">
    <mergeCell ref="F3:G3"/>
    <mergeCell ref="H3:I3"/>
    <mergeCell ref="J3:K3"/>
    <mergeCell ref="L3:M3"/>
    <mergeCell ref="N3:O3"/>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
  <sheetViews>
    <sheetView workbookViewId="0">
      <selection activeCell="K9" sqref="K9"/>
    </sheetView>
  </sheetViews>
  <sheetFormatPr baseColWidth="10" defaultColWidth="15.5" defaultRowHeight="12" x14ac:dyDescent="0"/>
  <cols>
    <col min="1" max="1" width="16.6640625" style="20" customWidth="1"/>
    <col min="2" max="2" width="20.1640625" style="20" customWidth="1"/>
    <col min="3" max="3" width="11.5" style="20" customWidth="1"/>
    <col min="4" max="5" width="12.1640625" style="20" customWidth="1"/>
    <col min="6" max="6" width="11.6640625" style="126" customWidth="1"/>
    <col min="7" max="7" width="10.5" style="126" customWidth="1"/>
    <col min="8" max="8" width="11" style="126" customWidth="1"/>
    <col min="9" max="9" width="9" style="126" customWidth="1"/>
    <col min="10" max="10" width="11.33203125" style="126" customWidth="1"/>
    <col min="11" max="11" width="10.83203125" style="126" customWidth="1"/>
    <col min="12" max="12" width="12" style="126" customWidth="1"/>
    <col min="13" max="13" width="12.1640625" style="126" customWidth="1"/>
    <col min="14" max="14" width="11.5" style="126" customWidth="1"/>
    <col min="15" max="15" width="10.33203125" style="126" customWidth="1"/>
    <col min="16" max="16384" width="15.5" style="20"/>
  </cols>
  <sheetData>
    <row r="1" spans="1:15">
      <c r="A1" s="57" t="s">
        <v>188</v>
      </c>
      <c r="B1" s="57"/>
      <c r="C1" s="57"/>
      <c r="D1" s="57"/>
      <c r="E1" s="57"/>
      <c r="F1" s="125"/>
      <c r="G1" s="125"/>
      <c r="H1" s="125"/>
      <c r="I1" s="125"/>
      <c r="J1" s="125"/>
      <c r="K1" s="125"/>
    </row>
    <row r="2" spans="1:15">
      <c r="A2" s="57"/>
      <c r="B2" s="57"/>
      <c r="C2" s="57"/>
      <c r="D2" s="57"/>
      <c r="E2" s="57"/>
      <c r="F2" s="125"/>
      <c r="G2" s="125"/>
      <c r="H2" s="125"/>
      <c r="I2" s="125"/>
      <c r="J2" s="125"/>
      <c r="K2" s="125"/>
    </row>
    <row r="3" spans="1:15" s="56" customFormat="1" ht="48">
      <c r="A3" s="58" t="s">
        <v>70</v>
      </c>
      <c r="B3" s="128" t="s">
        <v>145</v>
      </c>
      <c r="C3" s="146" t="s">
        <v>75</v>
      </c>
      <c r="D3" s="146" t="s">
        <v>76</v>
      </c>
      <c r="E3" s="146" t="s">
        <v>77</v>
      </c>
      <c r="F3" s="309">
        <v>2017</v>
      </c>
      <c r="G3" s="309"/>
      <c r="H3" s="309">
        <v>2018</v>
      </c>
      <c r="I3" s="309"/>
      <c r="J3" s="309">
        <v>2019</v>
      </c>
      <c r="K3" s="309"/>
      <c r="L3" s="309">
        <v>2020</v>
      </c>
      <c r="M3" s="309"/>
      <c r="N3" s="309">
        <v>2021</v>
      </c>
      <c r="O3" s="309"/>
    </row>
    <row r="4" spans="1:15" s="56" customFormat="1">
      <c r="A4" s="59"/>
      <c r="B4" s="161"/>
      <c r="C4" s="161"/>
      <c r="D4" s="161"/>
      <c r="E4" s="161"/>
      <c r="F4" s="169" t="s">
        <v>141</v>
      </c>
      <c r="G4" s="169" t="s">
        <v>142</v>
      </c>
      <c r="H4" s="169" t="s">
        <v>141</v>
      </c>
      <c r="I4" s="169" t="s">
        <v>142</v>
      </c>
      <c r="J4" s="169" t="s">
        <v>141</v>
      </c>
      <c r="K4" s="169" t="s">
        <v>142</v>
      </c>
      <c r="L4" s="169" t="s">
        <v>141</v>
      </c>
      <c r="M4" s="169" t="s">
        <v>142</v>
      </c>
      <c r="N4" s="169" t="s">
        <v>141</v>
      </c>
      <c r="O4" s="169" t="s">
        <v>142</v>
      </c>
    </row>
    <row r="5" spans="1:15" s="56" customFormat="1" ht="24">
      <c r="A5" s="80" t="s">
        <v>82</v>
      </c>
      <c r="B5" s="161" t="s">
        <v>143</v>
      </c>
      <c r="C5" s="162">
        <v>410289</v>
      </c>
      <c r="D5" s="163">
        <v>6.65</v>
      </c>
      <c r="E5" s="164">
        <v>37.82</v>
      </c>
      <c r="F5" s="153">
        <v>13682321</v>
      </c>
      <c r="G5" s="165">
        <f>F5/595.99</f>
        <v>22957.299619121124</v>
      </c>
      <c r="H5" s="153">
        <v>16418786</v>
      </c>
      <c r="I5" s="165">
        <f>H5/595.99</f>
        <v>27548.760885249751</v>
      </c>
      <c r="J5" s="153">
        <v>19155250</v>
      </c>
      <c r="K5" s="165">
        <f>J5/595.99</f>
        <v>32140.220473497877</v>
      </c>
      <c r="L5" s="153">
        <v>21891714</v>
      </c>
      <c r="M5" s="165">
        <f>L5/595.99</f>
        <v>36731.680061746003</v>
      </c>
      <c r="N5" s="153">
        <v>24628178</v>
      </c>
      <c r="O5" s="165">
        <f>N5/595.99</f>
        <v>41323.139649994126</v>
      </c>
    </row>
    <row r="6" spans="1:15" s="56" customFormat="1">
      <c r="A6" s="59"/>
      <c r="B6" s="161" t="s">
        <v>144</v>
      </c>
      <c r="C6" s="161"/>
      <c r="D6" s="161"/>
      <c r="E6" s="161"/>
      <c r="F6" s="153">
        <v>2313080</v>
      </c>
      <c r="G6" s="165">
        <f t="shared" ref="G6:G7" si="0">F6/595.99</f>
        <v>3881.0718300642629</v>
      </c>
      <c r="H6" s="153">
        <v>2313080</v>
      </c>
      <c r="I6" s="165">
        <f t="shared" ref="I6:I8" si="1">H6/595.99</f>
        <v>3881.0718300642629</v>
      </c>
      <c r="J6" s="153">
        <v>2313080</v>
      </c>
      <c r="K6" s="165">
        <f t="shared" ref="K6:K8" si="2">J6/595.99</f>
        <v>3881.0718300642629</v>
      </c>
      <c r="L6" s="153">
        <v>2313080</v>
      </c>
      <c r="M6" s="165">
        <f t="shared" ref="M6:M8" si="3">L6/595.99</f>
        <v>3881.0718300642629</v>
      </c>
      <c r="N6" s="153">
        <v>2313080</v>
      </c>
      <c r="O6" s="165">
        <f t="shared" ref="O6:O8" si="4">N6/595.99</f>
        <v>3881.0718300642629</v>
      </c>
    </row>
    <row r="7" spans="1:15" s="56" customFormat="1">
      <c r="A7" s="59"/>
      <c r="B7" s="161" t="s">
        <v>139</v>
      </c>
      <c r="C7" s="161"/>
      <c r="D7" s="161"/>
      <c r="E7" s="161"/>
      <c r="F7" s="153">
        <v>1155677</v>
      </c>
      <c r="G7" s="165">
        <f t="shared" si="0"/>
        <v>1939.0879041594658</v>
      </c>
      <c r="H7" s="153">
        <v>1155677</v>
      </c>
      <c r="I7" s="165">
        <f t="shared" si="1"/>
        <v>1939.0879041594658</v>
      </c>
      <c r="J7" s="153">
        <v>1155677</v>
      </c>
      <c r="K7" s="165">
        <f t="shared" si="2"/>
        <v>1939.0879041594658</v>
      </c>
      <c r="L7" s="153">
        <v>1155677</v>
      </c>
      <c r="M7" s="165">
        <f t="shared" si="3"/>
        <v>1939.0879041594658</v>
      </c>
      <c r="N7" s="153">
        <v>1155677</v>
      </c>
      <c r="O7" s="165">
        <f t="shared" si="4"/>
        <v>1939.0879041594658</v>
      </c>
    </row>
    <row r="8" spans="1:15" s="91" customFormat="1">
      <c r="A8" s="157"/>
      <c r="B8" s="158" t="s">
        <v>129</v>
      </c>
      <c r="C8" s="158"/>
      <c r="D8" s="158"/>
      <c r="E8" s="158"/>
      <c r="F8" s="159">
        <v>2400000</v>
      </c>
      <c r="G8" s="160">
        <f>F8/595.99</f>
        <v>4026.9132032416651</v>
      </c>
      <c r="H8" s="159">
        <f>F8*1.05</f>
        <v>2520000</v>
      </c>
      <c r="I8" s="160">
        <f t="shared" si="1"/>
        <v>4228.2588634037484</v>
      </c>
      <c r="J8" s="159">
        <f>H8*1.05</f>
        <v>2646000</v>
      </c>
      <c r="K8" s="160">
        <f t="shared" si="2"/>
        <v>4439.671806573936</v>
      </c>
      <c r="L8" s="159">
        <f>J8*1.05</f>
        <v>2778300</v>
      </c>
      <c r="M8" s="160">
        <f t="shared" si="3"/>
        <v>4661.6553969026327</v>
      </c>
      <c r="N8" s="159">
        <f>L8*1.05</f>
        <v>2917215</v>
      </c>
      <c r="O8" s="160">
        <f t="shared" si="4"/>
        <v>4894.7381667477639</v>
      </c>
    </row>
    <row r="9" spans="1:15" s="56" customFormat="1">
      <c r="A9" s="59"/>
      <c r="B9" s="166" t="s">
        <v>69</v>
      </c>
      <c r="C9" s="167"/>
      <c r="D9" s="167"/>
      <c r="E9" s="167"/>
      <c r="F9" s="155">
        <f t="shared" ref="F9:O9" si="5">SUM(F5:F8)</f>
        <v>19551078</v>
      </c>
      <c r="G9" s="156">
        <f t="shared" si="5"/>
        <v>32804.372556586517</v>
      </c>
      <c r="H9" s="155">
        <f t="shared" si="5"/>
        <v>22407543</v>
      </c>
      <c r="I9" s="156">
        <f t="shared" si="5"/>
        <v>37597.179482877225</v>
      </c>
      <c r="J9" s="155">
        <f t="shared" si="5"/>
        <v>25270007</v>
      </c>
      <c r="K9" s="156">
        <f t="shared" si="5"/>
        <v>42400.052014295543</v>
      </c>
      <c r="L9" s="155">
        <f t="shared" si="5"/>
        <v>28138771</v>
      </c>
      <c r="M9" s="156">
        <f t="shared" si="5"/>
        <v>47213.495192872368</v>
      </c>
      <c r="N9" s="155">
        <f t="shared" si="5"/>
        <v>31014150</v>
      </c>
      <c r="O9" s="156">
        <f t="shared" si="5"/>
        <v>52038.037550965615</v>
      </c>
    </row>
    <row r="10" spans="1:15" s="56" customFormat="1">
      <c r="A10" s="59"/>
      <c r="B10" s="166" t="s">
        <v>148</v>
      </c>
      <c r="C10" s="168">
        <f>SUM(G9+I9+K9+M9+O9)</f>
        <v>212053.13679759725</v>
      </c>
      <c r="D10" s="167"/>
      <c r="E10" s="167"/>
      <c r="F10" s="155"/>
      <c r="G10" s="156"/>
      <c r="H10" s="155"/>
      <c r="I10" s="156"/>
      <c r="J10" s="155"/>
      <c r="K10" s="156"/>
      <c r="L10" s="155"/>
      <c r="M10" s="156"/>
      <c r="N10" s="155"/>
      <c r="O10" s="156"/>
    </row>
    <row r="11" spans="1:15" s="123" customFormat="1">
      <c r="F11" s="127"/>
      <c r="G11" s="127"/>
      <c r="H11" s="127"/>
      <c r="I11" s="127"/>
      <c r="J11" s="127"/>
      <c r="K11" s="127"/>
      <c r="L11" s="127"/>
      <c r="M11" s="127"/>
      <c r="N11" s="127"/>
      <c r="O11" s="127"/>
    </row>
    <row r="12" spans="1:15">
      <c r="A12" s="56" t="s">
        <v>78</v>
      </c>
      <c r="B12" s="56"/>
      <c r="C12" s="56"/>
      <c r="D12" s="56"/>
      <c r="E12" s="56"/>
    </row>
    <row r="13" spans="1:15">
      <c r="A13" s="56" t="s">
        <v>147</v>
      </c>
    </row>
  </sheetData>
  <mergeCells count="5">
    <mergeCell ref="F3:G3"/>
    <mergeCell ref="H3:I3"/>
    <mergeCell ref="J3:K3"/>
    <mergeCell ref="L3:M3"/>
    <mergeCell ref="N3:O3"/>
  </mergeCells>
  <pageMargins left="0.7" right="0.7" top="0.75" bottom="0.75" header="0.3" footer="0.3"/>
  <pageSetup paperSize="9" scale="5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pane xSplit="1" ySplit="2" topLeftCell="B3" activePane="bottomRight" state="frozen"/>
      <selection pane="topRight" activeCell="B1" sqref="B1"/>
      <selection pane="bottomLeft" activeCell="A3" sqref="A3"/>
      <selection pane="bottomRight" activeCell="T5" sqref="T5"/>
    </sheetView>
  </sheetViews>
  <sheetFormatPr baseColWidth="10" defaultRowHeight="14" x14ac:dyDescent="0"/>
  <cols>
    <col min="1" max="1" width="13.83203125" style="171" customWidth="1"/>
    <col min="2" max="2" width="51.33203125" style="173" customWidth="1"/>
    <col min="5" max="5" width="11.1640625" style="174" customWidth="1"/>
    <col min="7" max="7" width="12" bestFit="1" customWidth="1"/>
    <col min="8" max="8" width="11.5" style="174" bestFit="1" customWidth="1"/>
    <col min="10" max="10" width="12" bestFit="1" customWidth="1"/>
    <col min="11" max="11" width="11.5" style="174" bestFit="1" customWidth="1"/>
    <col min="14" max="14" width="11.5" style="174" bestFit="1" customWidth="1"/>
    <col min="17" max="17" width="11.5" style="174" bestFit="1" customWidth="1"/>
    <col min="18" max="18" width="2" customWidth="1"/>
    <col min="21" max="21" width="12.83203125" bestFit="1" customWidth="1"/>
    <col min="22" max="22" width="1.6640625" customWidth="1"/>
  </cols>
  <sheetData>
    <row r="1" spans="1:25" s="175" customFormat="1">
      <c r="A1" s="171"/>
      <c r="B1" s="171"/>
      <c r="C1" s="263">
        <v>2017</v>
      </c>
      <c r="D1" s="263"/>
      <c r="E1" s="263"/>
      <c r="F1" s="263">
        <v>2018</v>
      </c>
      <c r="G1" s="263"/>
      <c r="H1" s="263"/>
      <c r="I1" s="263">
        <v>2019</v>
      </c>
      <c r="J1" s="263"/>
      <c r="K1" s="263"/>
      <c r="L1" s="263">
        <v>2020</v>
      </c>
      <c r="M1" s="263"/>
      <c r="N1" s="263"/>
      <c r="O1" s="263">
        <v>2021</v>
      </c>
      <c r="P1" s="263"/>
      <c r="Q1" s="263"/>
    </row>
    <row r="2" spans="1:25" s="171" customFormat="1" ht="56">
      <c r="A2" s="171" t="s">
        <v>202</v>
      </c>
      <c r="B2" s="171" t="s">
        <v>190</v>
      </c>
      <c r="C2" s="171" t="s">
        <v>191</v>
      </c>
      <c r="D2" s="171" t="s">
        <v>192</v>
      </c>
      <c r="E2" s="256" t="s">
        <v>193</v>
      </c>
      <c r="F2" s="171" t="s">
        <v>191</v>
      </c>
      <c r="G2" s="171" t="s">
        <v>192</v>
      </c>
      <c r="H2" s="256" t="s">
        <v>193</v>
      </c>
      <c r="I2" s="171" t="s">
        <v>191</v>
      </c>
      <c r="J2" s="171" t="s">
        <v>192</v>
      </c>
      <c r="K2" s="256" t="s">
        <v>193</v>
      </c>
      <c r="L2" s="171" t="s">
        <v>191</v>
      </c>
      <c r="M2" s="171" t="s">
        <v>192</v>
      </c>
      <c r="N2" s="256" t="s">
        <v>193</v>
      </c>
      <c r="O2" s="171" t="s">
        <v>191</v>
      </c>
      <c r="P2" s="171" t="s">
        <v>192</v>
      </c>
      <c r="Q2" s="256" t="s">
        <v>193</v>
      </c>
      <c r="S2" s="259" t="s">
        <v>205</v>
      </c>
      <c r="T2" s="171" t="s">
        <v>204</v>
      </c>
      <c r="U2" s="171" t="s">
        <v>219</v>
      </c>
      <c r="W2" s="259" t="s">
        <v>277</v>
      </c>
      <c r="Y2" s="171" t="s">
        <v>7</v>
      </c>
    </row>
    <row r="3" spans="1:25" ht="70">
      <c r="A3" s="171" t="s">
        <v>194</v>
      </c>
      <c r="B3" s="172" t="s">
        <v>197</v>
      </c>
      <c r="C3" s="202">
        <f>'Guinea Bissau'!M6+'Guinea Bissau'!M7</f>
        <v>544661</v>
      </c>
      <c r="D3">
        <f>'Guinea Bissau'!M16</f>
        <v>355644</v>
      </c>
      <c r="E3" s="257">
        <f>'Guinea Bissau'!D27*(1+$C$19)</f>
        <v>611289.23799754959</v>
      </c>
      <c r="F3" s="202">
        <f>'Guinea Bissau'!N6+'Guinea Bissau'!N7</f>
        <v>478724</v>
      </c>
      <c r="G3">
        <f>'Guinea Bissau'!N16</f>
        <v>362936</v>
      </c>
      <c r="H3" s="257">
        <f>'Guinea Bissau'!E27*(1+$C$19)</f>
        <v>419484.89136001118</v>
      </c>
      <c r="I3" s="202">
        <f>'Guinea Bissau'!O6+'Guinea Bissau'!O7</f>
        <v>548265</v>
      </c>
      <c r="J3">
        <f>'Guinea Bissau'!O16</f>
        <v>370375</v>
      </c>
      <c r="K3" s="257">
        <f>'Guinea Bissau'!F27*(1+$C$19)</f>
        <v>467315.97412940708</v>
      </c>
      <c r="N3" s="257">
        <f>'Guinea Bissau'!G27*(1+$C$19)</f>
        <v>414191.82024980505</v>
      </c>
      <c r="Q3" s="257">
        <f>'Guinea Bissau'!H27*(1+$C$19)</f>
        <v>431790.2386428953</v>
      </c>
      <c r="S3" s="260">
        <f t="shared" ref="S3:S8" si="0">SUM(E3,H3,K3,N3,Q3)</f>
        <v>2344072.1623796681</v>
      </c>
      <c r="T3" s="203">
        <f>(C3+F3+I3+L3+O3)/(SUM(C3:D3,F3:G3,I3:J3,L3:M3,O3:P3))</f>
        <v>0.59071151110367759</v>
      </c>
      <c r="U3" s="176">
        <f t="shared" ref="U3:U8" si="1">T3*S3</f>
        <v>1384670.4091753589</v>
      </c>
      <c r="W3" s="260">
        <f>SUM(H3,E3)</f>
        <v>1030774.1293575608</v>
      </c>
    </row>
    <row r="4" spans="1:25" ht="28">
      <c r="A4" s="171" t="s">
        <v>203</v>
      </c>
      <c r="B4" s="172" t="s">
        <v>198</v>
      </c>
      <c r="C4" s="202">
        <f>'Nigeria - four states'!L33</f>
        <v>4180371</v>
      </c>
      <c r="D4">
        <v>0</v>
      </c>
      <c r="E4" s="257">
        <f>'Nigeria - four states'!D52*(1+$C$19)</f>
        <v>273780.15812317538</v>
      </c>
      <c r="F4" s="202">
        <f>'Nigeria - four states'!M33</f>
        <v>4284881</v>
      </c>
      <c r="G4">
        <v>0</v>
      </c>
      <c r="H4" s="257">
        <f>'Nigeria - four states'!E52*(1+$C$19)</f>
        <v>267860.14272865385</v>
      </c>
      <c r="I4" s="202">
        <f>'Nigeria - four states'!N33</f>
        <v>4392003</v>
      </c>
      <c r="J4">
        <v>0</v>
      </c>
      <c r="K4" s="257">
        <f>'Nigeria - four states'!F52*(1+$C$19)</f>
        <v>245869.24215313187</v>
      </c>
      <c r="N4" s="257"/>
      <c r="Q4" s="257"/>
      <c r="S4" s="260">
        <f t="shared" si="0"/>
        <v>787509.5430049611</v>
      </c>
      <c r="T4" s="203">
        <f>(C4+F4+I4+L4+O4)/(SUM(C4:D4,F4:G4,I4:J4,L4:M4,O4:P4))</f>
        <v>1</v>
      </c>
      <c r="U4" s="176">
        <f t="shared" si="1"/>
        <v>787509.5430049611</v>
      </c>
      <c r="W4" s="260">
        <f t="shared" ref="W4:W8" si="2">SUM(H4,E4)</f>
        <v>541640.30085182923</v>
      </c>
    </row>
    <row r="5" spans="1:25">
      <c r="A5" s="171" t="s">
        <v>314</v>
      </c>
      <c r="B5" s="172" t="s">
        <v>315</v>
      </c>
      <c r="C5" s="202">
        <f>'Nigeria - Benue'!K18</f>
        <v>1455000</v>
      </c>
      <c r="D5" s="202">
        <v>1793475</v>
      </c>
      <c r="E5" s="257">
        <f>'Nigeria - Benue'!D29*(1+$C$19)</f>
        <v>304165.37845302204</v>
      </c>
      <c r="F5" s="202">
        <f>'Nigeria - Benue'!L18</f>
        <v>1475000</v>
      </c>
      <c r="G5" s="262">
        <v>1838312</v>
      </c>
      <c r="H5" s="257">
        <f>'Nigeria - Benue'!E29*(1+$C$19)</f>
        <v>267536.70614505495</v>
      </c>
      <c r="I5" s="202">
        <f>'Nigeria - Benue'!M18</f>
        <v>1615000</v>
      </c>
      <c r="J5" s="262">
        <v>1884270</v>
      </c>
      <c r="K5" s="257">
        <f>'Nigeria - Benue'!F29*(1+$C$19)</f>
        <v>231875.37745054945</v>
      </c>
      <c r="N5" s="257"/>
      <c r="Q5" s="257"/>
      <c r="S5" s="260">
        <f t="shared" si="0"/>
        <v>803577.4620486265</v>
      </c>
      <c r="T5" s="203">
        <f>(C5+F5+I5+L5+O5)/(SUM(C5:D5,F5:G5,I5:J5,L5:M5,O5:P5))</f>
        <v>0.45174180009118325</v>
      </c>
      <c r="U5" s="176">
        <f t="shared" si="1"/>
        <v>363009.529218551</v>
      </c>
      <c r="W5" s="260">
        <f t="shared" si="2"/>
        <v>571702.084598077</v>
      </c>
      <c r="Y5" t="s">
        <v>353</v>
      </c>
    </row>
    <row r="6" spans="1:25">
      <c r="A6" s="171" t="s">
        <v>195</v>
      </c>
      <c r="B6" s="172" t="s">
        <v>199</v>
      </c>
      <c r="C6">
        <f>SUM(DRC!$D7:$E7)</f>
        <v>314582</v>
      </c>
      <c r="D6">
        <v>0</v>
      </c>
      <c r="E6" s="257">
        <f>DRC!H7*(1+$C$19)</f>
        <v>62306.073000000004</v>
      </c>
      <c r="F6">
        <f>SUM(DRC!$D7:$E7)</f>
        <v>314582</v>
      </c>
      <c r="G6">
        <v>0</v>
      </c>
      <c r="H6" s="257">
        <f>DRC!I7*(1+$C$19)</f>
        <v>68536.566000000006</v>
      </c>
      <c r="I6">
        <f>SUM(DRC!$D7:$E7)</f>
        <v>314582</v>
      </c>
      <c r="J6">
        <v>0</v>
      </c>
      <c r="K6" s="257">
        <f>DRC!J7*(1+$C$19)</f>
        <v>75389.994000000006</v>
      </c>
      <c r="L6">
        <f>SUM(DRC!$D7:$E7)</f>
        <v>314582</v>
      </c>
      <c r="M6">
        <v>0</v>
      </c>
      <c r="N6" s="257">
        <f>DRC!K7*(1+$C$19)</f>
        <v>82929.221999999994</v>
      </c>
      <c r="O6">
        <f>SUM(DRC!$D7:$E7)</f>
        <v>314582</v>
      </c>
      <c r="P6">
        <v>0</v>
      </c>
      <c r="Q6" s="257">
        <f>DRC!L7*(1+$C$19)</f>
        <v>91222.83</v>
      </c>
      <c r="S6" s="260">
        <f t="shared" si="0"/>
        <v>380384.68500000006</v>
      </c>
      <c r="T6" s="203">
        <f>(C6+F6+I6+L6+O6)/(SUM(C6:D6,F6:G6,I6:J6,L6:M6,O6:P6))</f>
        <v>1</v>
      </c>
      <c r="U6" s="176">
        <f t="shared" si="1"/>
        <v>380384.68500000006</v>
      </c>
      <c r="W6" s="260">
        <f t="shared" si="2"/>
        <v>130842.63900000001</v>
      </c>
    </row>
    <row r="7" spans="1:25" ht="46" customHeight="1">
      <c r="A7" s="171" t="s">
        <v>43</v>
      </c>
      <c r="B7" s="172" t="s">
        <v>200</v>
      </c>
      <c r="E7" s="257">
        <f>Cameroon!B31*(1+$C$19)</f>
        <v>232144.57305088447</v>
      </c>
      <c r="H7" s="257">
        <f>Cameroon!C31*(1+$C$19)</f>
        <v>53571.82455020411</v>
      </c>
      <c r="K7" s="257">
        <f>Cameroon!D31*(1+$C$19)</f>
        <v>67012.78411477145</v>
      </c>
      <c r="N7" s="257"/>
      <c r="Q7" s="257"/>
      <c r="S7" s="260">
        <f t="shared" si="0"/>
        <v>352729.18171586003</v>
      </c>
      <c r="T7" s="203">
        <v>1</v>
      </c>
      <c r="U7" s="176">
        <f t="shared" si="1"/>
        <v>352729.18171586003</v>
      </c>
      <c r="W7" s="260">
        <f t="shared" si="2"/>
        <v>285716.39760108857</v>
      </c>
    </row>
    <row r="8" spans="1:25" ht="28">
      <c r="A8" s="171" t="s">
        <v>279</v>
      </c>
      <c r="B8" s="172" t="s">
        <v>278</v>
      </c>
      <c r="E8" s="257">
        <f>Guinea!G11*(1+$C$19)</f>
        <v>155271.33871663097</v>
      </c>
      <c r="H8" s="257">
        <f>Guinea!I11*(1+$C$19)</f>
        <v>169602.45849771699</v>
      </c>
      <c r="K8" s="257">
        <f>Guinea!K11*(1+$C$19)</f>
        <v>186159.93400748869</v>
      </c>
      <c r="N8" s="257">
        <f>Guinea!M11*(1+$C$19)</f>
        <v>204353.01855123753</v>
      </c>
      <c r="Q8" s="257">
        <f>Guinea!O11*(1+$C$19)</f>
        <v>224344.26610651129</v>
      </c>
      <c r="S8" s="260">
        <f t="shared" si="0"/>
        <v>939731.01587958541</v>
      </c>
      <c r="T8" s="225">
        <v>1</v>
      </c>
      <c r="U8" s="176">
        <f t="shared" si="1"/>
        <v>939731.01587958541</v>
      </c>
      <c r="W8" s="260">
        <f t="shared" si="2"/>
        <v>324873.79721434799</v>
      </c>
    </row>
    <row r="9" spans="1:25" ht="28">
      <c r="A9" s="171" t="s">
        <v>196</v>
      </c>
      <c r="B9" s="172" t="s">
        <v>201</v>
      </c>
      <c r="E9" s="257">
        <f>'Cote d''Ivoire'!G9*(1+$C$19)</f>
        <v>37495.397832178387</v>
      </c>
      <c r="H9" s="257">
        <f>'Cote d''Ivoire'!I9*(1+$C$19)</f>
        <v>42973.576148928667</v>
      </c>
      <c r="K9" s="257">
        <f>'Cote d''Ivoire'!K9*(1+$C$19)</f>
        <v>48463.259452339807</v>
      </c>
      <c r="N9" s="257">
        <f>'Cote d''Ivoire'!M9*(1+$C$19)</f>
        <v>53965.025005453113</v>
      </c>
      <c r="Q9" s="257">
        <f>'Cote d''Ivoire'!O9*(1+$C$19)</f>
        <v>59479.476920753696</v>
      </c>
      <c r="S9" s="260">
        <f t="shared" ref="S9:S16" si="3">SUM(E9,H9,K9,N9,Q9)</f>
        <v>242376.73535965369</v>
      </c>
      <c r="T9" s="225">
        <v>1</v>
      </c>
      <c r="U9" s="176">
        <f t="shared" ref="U9" si="4">T9*S9</f>
        <v>242376.73535965369</v>
      </c>
      <c r="W9" s="260">
        <f t="shared" ref="W9:W10" si="5">SUM(H9,E9)</f>
        <v>80468.973981107061</v>
      </c>
    </row>
    <row r="10" spans="1:25" s="175" customFormat="1" ht="15" thickBot="1">
      <c r="A10" s="226" t="s">
        <v>14</v>
      </c>
      <c r="B10" s="226"/>
      <c r="C10" s="227"/>
      <c r="D10" s="227"/>
      <c r="E10" s="258">
        <f>SUM(E3:E9)</f>
        <v>1676452.157173441</v>
      </c>
      <c r="F10" s="227"/>
      <c r="G10" s="227"/>
      <c r="H10" s="258">
        <f>SUM(H3:H9)</f>
        <v>1289566.1654305698</v>
      </c>
      <c r="I10" s="227"/>
      <c r="J10" s="227"/>
      <c r="K10" s="258">
        <f>SUM(K3:K9)</f>
        <v>1322086.5653076882</v>
      </c>
      <c r="L10" s="227"/>
      <c r="M10" s="227"/>
      <c r="N10" s="258">
        <f>SUM(N3:N9)</f>
        <v>755439.08580649574</v>
      </c>
      <c r="O10" s="227"/>
      <c r="P10" s="227"/>
      <c r="Q10" s="258">
        <f>SUM(Q3:Q9)</f>
        <v>806836.81167016039</v>
      </c>
      <c r="R10" s="227"/>
      <c r="S10" s="261">
        <f t="shared" si="3"/>
        <v>5850380.7853883542</v>
      </c>
      <c r="T10" s="228">
        <f>U10/S10</f>
        <v>0.76070451866468525</v>
      </c>
      <c r="U10" s="229">
        <f>SUM(U3:U9)</f>
        <v>4450411.099353971</v>
      </c>
      <c r="V10" s="227"/>
      <c r="W10" s="261">
        <f t="shared" si="5"/>
        <v>2966018.3226040108</v>
      </c>
    </row>
    <row r="11" spans="1:25" ht="15" thickTop="1"/>
    <row r="13" spans="1:25">
      <c r="A13" s="234" t="s">
        <v>288</v>
      </c>
    </row>
    <row r="14" spans="1:25">
      <c r="A14" s="234"/>
    </row>
    <row r="15" spans="1:25" ht="28">
      <c r="A15" s="171" t="s">
        <v>282</v>
      </c>
      <c r="B15" s="173" t="s">
        <v>283</v>
      </c>
      <c r="C15" s="232">
        <f>'South Sudan'!D9+'South Sudan'!F9</f>
        <v>3054542.2903307681</v>
      </c>
      <c r="D15" s="232">
        <f>'South Sudan'!H9+'South Sudan'!J9</f>
        <v>2534455.8897063285</v>
      </c>
      <c r="E15" s="174">
        <f>'South Sudan'!N9*(1+$C$19)</f>
        <v>3130514.8090716423</v>
      </c>
      <c r="S15" s="176">
        <f t="shared" si="3"/>
        <v>3130514.8090716423</v>
      </c>
      <c r="T15" s="203">
        <f>(C15+F15+I15+L15+O15)/(SUM(C15:D15,F15:G15,I15:J15,L15:M15,O15:P15))</f>
        <v>0.54652769457700812</v>
      </c>
      <c r="U15" s="176">
        <f>T15*S15</f>
        <v>1710913.0414411074</v>
      </c>
      <c r="W15" s="176"/>
    </row>
    <row r="16" spans="1:25" ht="42">
      <c r="A16" s="171" t="s">
        <v>281</v>
      </c>
      <c r="B16" s="173" t="s">
        <v>304</v>
      </c>
      <c r="C16">
        <f>DRC!D6+DRC!E6+SUM(DRC!D8:E9)</f>
        <v>2165179</v>
      </c>
      <c r="D16">
        <f>SUM(DRC!F8:G9)</f>
        <v>6551635</v>
      </c>
      <c r="E16" s="174">
        <f>SUM(DRC!P6:P10)*(1+$C$19)</f>
        <v>1161271.5574150304</v>
      </c>
      <c r="S16" s="176">
        <f t="shared" si="3"/>
        <v>1161271.5574150304</v>
      </c>
      <c r="T16" s="203">
        <f>(C16+F16+I16+L16+O16)/(SUM(C16:D16,F16:G16,I16:J16,L16:M16,O16:P16))</f>
        <v>0.24839109794014189</v>
      </c>
      <c r="U16" s="176">
        <f>T16*S16</f>
        <v>288449.51715297793</v>
      </c>
      <c r="W16" s="176"/>
    </row>
    <row r="19" spans="2:3">
      <c r="B19" s="238" t="s">
        <v>280</v>
      </c>
      <c r="C19" s="239">
        <v>0.14299999999999999</v>
      </c>
    </row>
  </sheetData>
  <mergeCells count="5">
    <mergeCell ref="C1:E1"/>
    <mergeCell ref="F1:H1"/>
    <mergeCell ref="I1:K1"/>
    <mergeCell ref="L1:N1"/>
    <mergeCell ref="O1:Q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6"/>
  <sheetViews>
    <sheetView tabSelected="1" topLeftCell="A19" workbookViewId="0">
      <selection activeCell="D32" sqref="D32"/>
    </sheetView>
  </sheetViews>
  <sheetFormatPr baseColWidth="10" defaultRowHeight="14" x14ac:dyDescent="0"/>
  <cols>
    <col min="2" max="2" width="32.83203125" style="173" customWidth="1"/>
    <col min="3" max="3" width="25.6640625" customWidth="1"/>
    <col min="4" max="4" width="21.6640625" customWidth="1"/>
    <col min="5" max="5" width="24.6640625" style="173" customWidth="1"/>
  </cols>
  <sheetData>
    <row r="2" spans="2:5" s="173" customFormat="1" ht="28">
      <c r="B2" s="173" t="s">
        <v>190</v>
      </c>
      <c r="C2" s="173" t="s">
        <v>300</v>
      </c>
      <c r="D2" s="173" t="s">
        <v>301</v>
      </c>
      <c r="E2" s="173" t="s">
        <v>290</v>
      </c>
    </row>
    <row r="3" spans="2:5" ht="28">
      <c r="B3" s="173" t="s">
        <v>294</v>
      </c>
      <c r="C3" s="174">
        <f>'GW summary of funding gaps'!W4</f>
        <v>541640.30085182923</v>
      </c>
      <c r="D3" s="176">
        <f>C3</f>
        <v>541640.30085182923</v>
      </c>
      <c r="E3" s="173" t="s">
        <v>308</v>
      </c>
    </row>
    <row r="4" spans="2:5" ht="28">
      <c r="B4" s="173" t="s">
        <v>297</v>
      </c>
      <c r="C4" s="174">
        <f>'GW summary of funding gaps'!W3</f>
        <v>1030774.1293575608</v>
      </c>
      <c r="D4" s="176">
        <f>D3+C4</f>
        <v>1572414.4302093899</v>
      </c>
      <c r="E4" s="173" t="s">
        <v>308</v>
      </c>
    </row>
    <row r="5" spans="2:5" ht="28">
      <c r="B5" s="173" t="s">
        <v>309</v>
      </c>
      <c r="C5" s="174">
        <f>'GW summary of funding gaps'!W6</f>
        <v>130842.63900000001</v>
      </c>
      <c r="D5" s="176">
        <f t="shared" ref="D5:D16" si="0">D4+C5</f>
        <v>1703257.0692093899</v>
      </c>
      <c r="E5" s="173" t="s">
        <v>308</v>
      </c>
    </row>
    <row r="6" spans="2:5" ht="28">
      <c r="B6" s="173" t="s">
        <v>311</v>
      </c>
      <c r="C6" s="174">
        <f>'GW summary of funding gaps'!W8</f>
        <v>324873.79721434799</v>
      </c>
      <c r="D6" s="176">
        <f t="shared" si="0"/>
        <v>2028130.8664237377</v>
      </c>
      <c r="E6" s="173" t="s">
        <v>308</v>
      </c>
    </row>
    <row r="7" spans="2:5" ht="28">
      <c r="B7" s="173" t="s">
        <v>355</v>
      </c>
      <c r="C7" s="174">
        <f>'GW summary of funding gaps'!W5</f>
        <v>571702.084598077</v>
      </c>
      <c r="D7" s="176">
        <f t="shared" si="0"/>
        <v>2599832.9510218147</v>
      </c>
      <c r="E7" s="173" t="s">
        <v>291</v>
      </c>
    </row>
    <row r="8" spans="2:5">
      <c r="B8" s="173" t="s">
        <v>295</v>
      </c>
      <c r="C8" s="174">
        <f>'GW summary of funding gaps'!S7</f>
        <v>352729.18171586003</v>
      </c>
      <c r="D8" s="176">
        <f t="shared" si="0"/>
        <v>2952562.1327376748</v>
      </c>
      <c r="E8" s="173" t="s">
        <v>291</v>
      </c>
    </row>
    <row r="9" spans="2:5" ht="42">
      <c r="B9" s="173" t="s">
        <v>305</v>
      </c>
      <c r="C9" s="174">
        <f>'GW summary of funding gaps'!S4-'GW summary of funding gaps'!W4</f>
        <v>245869.24215313187</v>
      </c>
      <c r="D9" s="176">
        <f t="shared" si="0"/>
        <v>3198431.3748908066</v>
      </c>
      <c r="E9" s="173" t="s">
        <v>292</v>
      </c>
    </row>
    <row r="10" spans="2:5" ht="28">
      <c r="B10" s="173" t="s">
        <v>356</v>
      </c>
      <c r="C10" s="174">
        <f>'GW summary of funding gaps'!S5-'GW summary of funding gaps'!W5</f>
        <v>231875.37745054951</v>
      </c>
      <c r="D10" s="176">
        <f t="shared" si="0"/>
        <v>3430306.7523413561</v>
      </c>
      <c r="E10" s="173" t="s">
        <v>357</v>
      </c>
    </row>
    <row r="11" spans="2:5" ht="28">
      <c r="B11" s="173" t="s">
        <v>298</v>
      </c>
      <c r="C11" s="174">
        <f>'GW summary of funding gaps'!S3-'GW summary of funding gaps'!W3</f>
        <v>1313298.0330221073</v>
      </c>
      <c r="D11" s="176">
        <f t="shared" si="0"/>
        <v>4743604.7853634637</v>
      </c>
      <c r="E11" s="173" t="s">
        <v>293</v>
      </c>
    </row>
    <row r="12" spans="2:5" ht="28">
      <c r="B12" s="173" t="s">
        <v>310</v>
      </c>
      <c r="C12" s="174">
        <f>'GW summary of funding gaps'!S6-'GW summary of funding gaps'!W6</f>
        <v>249542.04600000003</v>
      </c>
      <c r="D12" s="176">
        <f t="shared" si="0"/>
        <v>4993146.8313634638</v>
      </c>
      <c r="E12" s="173" t="s">
        <v>293</v>
      </c>
    </row>
    <row r="13" spans="2:5" ht="28">
      <c r="B13" s="173" t="s">
        <v>312</v>
      </c>
      <c r="C13" s="174">
        <f>'GW summary of funding gaps'!S8-'GW summary of funding gaps'!W8</f>
        <v>614857.21866523742</v>
      </c>
      <c r="D13" s="176">
        <f t="shared" si="0"/>
        <v>5608004.0500287013</v>
      </c>
      <c r="E13" s="173" t="s">
        <v>293</v>
      </c>
    </row>
    <row r="14" spans="2:5" ht="28">
      <c r="B14" s="173" t="s">
        <v>313</v>
      </c>
      <c r="C14" s="174">
        <f>'GW summary of funding gaps'!S9</f>
        <v>242376.73535965369</v>
      </c>
      <c r="D14" s="176">
        <f t="shared" si="0"/>
        <v>5850380.7853883551</v>
      </c>
      <c r="E14" s="173" t="s">
        <v>293</v>
      </c>
    </row>
    <row r="15" spans="2:5" ht="28">
      <c r="B15" s="173" t="s">
        <v>306</v>
      </c>
      <c r="C15" s="174">
        <f>'GW summary of funding gaps'!S16</f>
        <v>1161271.5574150304</v>
      </c>
      <c r="D15" s="176">
        <f t="shared" si="0"/>
        <v>7011652.3428033851</v>
      </c>
      <c r="E15" s="173" t="s">
        <v>293</v>
      </c>
    </row>
    <row r="16" spans="2:5" ht="28">
      <c r="B16" s="173" t="s">
        <v>296</v>
      </c>
      <c r="C16" s="174">
        <f>'GW summary of funding gaps'!S15</f>
        <v>3130514.8090716423</v>
      </c>
      <c r="D16" s="176">
        <f t="shared" si="0"/>
        <v>10142167.151875027</v>
      </c>
      <c r="E16" s="173" t="s">
        <v>293</v>
      </c>
    </row>
    <row r="17" spans="2:5">
      <c r="B17" s="173" t="s">
        <v>14</v>
      </c>
      <c r="C17" s="176">
        <f>SUM(C3:C16)</f>
        <v>10142167.151875027</v>
      </c>
      <c r="D17" s="176">
        <f>D16</f>
        <v>10142167.151875027</v>
      </c>
      <c r="E17" s="235" t="s">
        <v>299</v>
      </c>
    </row>
    <row r="19" spans="2:5">
      <c r="C19" s="174"/>
      <c r="D19" s="176"/>
    </row>
    <row r="20" spans="2:5">
      <c r="B20" s="171" t="s">
        <v>303</v>
      </c>
    </row>
    <row r="21" spans="2:5" s="173" customFormat="1" ht="28">
      <c r="B21" s="173" t="s">
        <v>190</v>
      </c>
      <c r="C21" s="173" t="s">
        <v>302</v>
      </c>
      <c r="D21" s="173" t="s">
        <v>289</v>
      </c>
      <c r="E21" s="173" t="s">
        <v>290</v>
      </c>
    </row>
    <row r="22" spans="2:5" ht="28">
      <c r="B22" s="173" t="s">
        <v>294</v>
      </c>
      <c r="C22" s="236">
        <f>C3/1000000</f>
        <v>0.54164030085182924</v>
      </c>
      <c r="D22" s="236">
        <f>D3/1000000</f>
        <v>0.54164030085182924</v>
      </c>
      <c r="E22" s="173" t="s">
        <v>308</v>
      </c>
    </row>
    <row r="23" spans="2:5" ht="28">
      <c r="B23" s="173" t="s">
        <v>297</v>
      </c>
      <c r="C23" s="236">
        <f t="shared" ref="C23:D36" si="1">C4/1000000</f>
        <v>1.0307741293575607</v>
      </c>
      <c r="D23" s="236">
        <f t="shared" si="1"/>
        <v>1.5724144302093899</v>
      </c>
      <c r="E23" s="173" t="s">
        <v>308</v>
      </c>
    </row>
    <row r="24" spans="2:5" ht="28">
      <c r="B24" s="173" t="s">
        <v>309</v>
      </c>
      <c r="C24" s="236">
        <f t="shared" si="1"/>
        <v>0.13084263900000001</v>
      </c>
      <c r="D24" s="236">
        <f t="shared" si="1"/>
        <v>1.7032570692093898</v>
      </c>
      <c r="E24" s="173" t="s">
        <v>308</v>
      </c>
    </row>
    <row r="25" spans="2:5" ht="28">
      <c r="B25" s="173" t="s">
        <v>311</v>
      </c>
      <c r="C25" s="236">
        <f t="shared" si="1"/>
        <v>0.324873797214348</v>
      </c>
      <c r="D25" s="236">
        <f t="shared" si="1"/>
        <v>2.0281308664237376</v>
      </c>
      <c r="E25" s="173" t="s">
        <v>308</v>
      </c>
    </row>
    <row r="26" spans="2:5" ht="28">
      <c r="B26" s="173" t="s">
        <v>355</v>
      </c>
      <c r="C26" s="236">
        <f t="shared" si="1"/>
        <v>0.57170208459807703</v>
      </c>
      <c r="D26" s="236">
        <f t="shared" si="1"/>
        <v>2.5998329510218148</v>
      </c>
      <c r="E26" s="173" t="s">
        <v>291</v>
      </c>
    </row>
    <row r="27" spans="2:5">
      <c r="B27" s="173" t="s">
        <v>295</v>
      </c>
      <c r="C27" s="236">
        <f t="shared" si="1"/>
        <v>0.35272918171586004</v>
      </c>
      <c r="D27" s="236">
        <f t="shared" si="1"/>
        <v>2.9525621327376745</v>
      </c>
      <c r="E27" s="173" t="s">
        <v>291</v>
      </c>
    </row>
    <row r="28" spans="2:5" ht="42">
      <c r="B28" s="173" t="s">
        <v>305</v>
      </c>
      <c r="C28" s="236">
        <f t="shared" si="1"/>
        <v>0.24586924215313186</v>
      </c>
      <c r="D28" s="236">
        <f t="shared" si="1"/>
        <v>3.1984313748908066</v>
      </c>
      <c r="E28" s="173" t="s">
        <v>292</v>
      </c>
    </row>
    <row r="29" spans="2:5" ht="28">
      <c r="B29" s="173" t="s">
        <v>356</v>
      </c>
      <c r="C29" s="236">
        <f t="shared" si="1"/>
        <v>0.23187537745054951</v>
      </c>
      <c r="D29" s="236">
        <f t="shared" si="1"/>
        <v>3.4303067523413562</v>
      </c>
      <c r="E29" s="173" t="s">
        <v>293</v>
      </c>
    </row>
    <row r="30" spans="2:5" ht="28">
      <c r="B30" s="173" t="s">
        <v>298</v>
      </c>
      <c r="C30" s="236">
        <f t="shared" si="1"/>
        <v>1.3132980330221073</v>
      </c>
      <c r="D30" s="236">
        <f t="shared" si="1"/>
        <v>4.7436047853634635</v>
      </c>
      <c r="E30" s="173" t="s">
        <v>293</v>
      </c>
    </row>
    <row r="31" spans="2:5" ht="28">
      <c r="B31" s="173" t="s">
        <v>310</v>
      </c>
      <c r="C31" s="236">
        <f t="shared" si="1"/>
        <v>0.24954204600000002</v>
      </c>
      <c r="D31" s="236">
        <f t="shared" si="1"/>
        <v>4.9931468313634637</v>
      </c>
      <c r="E31" s="173" t="s">
        <v>293</v>
      </c>
    </row>
    <row r="32" spans="2:5" ht="28">
      <c r="B32" s="173" t="s">
        <v>312</v>
      </c>
      <c r="C32" s="236">
        <f t="shared" si="1"/>
        <v>0.61485721866523746</v>
      </c>
      <c r="D32" s="236">
        <f t="shared" si="1"/>
        <v>5.6080040500287014</v>
      </c>
      <c r="E32" s="173" t="s">
        <v>293</v>
      </c>
    </row>
    <row r="33" spans="2:5" ht="28">
      <c r="B33" s="173" t="s">
        <v>313</v>
      </c>
      <c r="C33" s="236">
        <f t="shared" si="1"/>
        <v>0.24237673535965368</v>
      </c>
      <c r="D33" s="236">
        <f t="shared" si="1"/>
        <v>5.8503807853883547</v>
      </c>
      <c r="E33" s="173" t="s">
        <v>293</v>
      </c>
    </row>
    <row r="34" spans="2:5" ht="28">
      <c r="B34" s="173" t="s">
        <v>306</v>
      </c>
      <c r="C34" s="236">
        <f t="shared" si="1"/>
        <v>1.1612715574150305</v>
      </c>
      <c r="D34" s="236">
        <f t="shared" si="1"/>
        <v>7.0116523428033855</v>
      </c>
      <c r="E34" s="173" t="s">
        <v>293</v>
      </c>
    </row>
    <row r="35" spans="2:5" ht="28">
      <c r="B35" s="173" t="s">
        <v>296</v>
      </c>
      <c r="C35" s="236">
        <f t="shared" si="1"/>
        <v>3.1305148090716424</v>
      </c>
      <c r="D35" s="236">
        <f t="shared" si="1"/>
        <v>10.142167151875027</v>
      </c>
      <c r="E35" s="173" t="s">
        <v>293</v>
      </c>
    </row>
    <row r="36" spans="2:5">
      <c r="B36" s="173" t="s">
        <v>14</v>
      </c>
      <c r="C36" s="236">
        <f t="shared" si="1"/>
        <v>10.142167151875027</v>
      </c>
      <c r="D36" s="236">
        <f t="shared" si="1"/>
        <v>10.142167151875027</v>
      </c>
      <c r="E36" s="173" t="s">
        <v>299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topLeftCell="A19" workbookViewId="0">
      <selection activeCell="J46" sqref="J46:L46"/>
    </sheetView>
  </sheetViews>
  <sheetFormatPr baseColWidth="10" defaultRowHeight="14" x14ac:dyDescent="0"/>
  <cols>
    <col min="3" max="3" width="62.1640625" customWidth="1"/>
    <col min="10" max="10" width="36.5" customWidth="1"/>
    <col min="16" max="16" width="81.6640625" customWidth="1"/>
    <col min="17" max="17" width="8.83203125" customWidth="1"/>
  </cols>
  <sheetData>
    <row r="1" spans="2:16">
      <c r="B1" t="s">
        <v>220</v>
      </c>
    </row>
    <row r="3" spans="2:16">
      <c r="B3" s="175" t="s">
        <v>221</v>
      </c>
      <c r="J3" s="175" t="s">
        <v>222</v>
      </c>
      <c r="K3" s="175"/>
    </row>
    <row r="4" spans="2:16">
      <c r="B4" s="204" t="s">
        <v>83</v>
      </c>
      <c r="C4" s="204" t="s">
        <v>84</v>
      </c>
      <c r="D4" s="205">
        <v>2015</v>
      </c>
      <c r="E4" s="205">
        <v>2016</v>
      </c>
      <c r="F4" s="205">
        <v>2017</v>
      </c>
      <c r="G4" s="205" t="s">
        <v>223</v>
      </c>
      <c r="J4" s="204" t="s">
        <v>224</v>
      </c>
      <c r="K4" s="204" t="s">
        <v>225</v>
      </c>
    </row>
    <row r="5" spans="2:16">
      <c r="B5" s="264" t="s">
        <v>226</v>
      </c>
      <c r="C5" s="206" t="s">
        <v>227</v>
      </c>
      <c r="D5" s="207">
        <v>12888.278388278388</v>
      </c>
      <c r="E5" s="207">
        <v>15465.934065934065</v>
      </c>
      <c r="F5" s="207">
        <v>13919.34065934066</v>
      </c>
      <c r="G5" s="207">
        <f>SUM(D5:F5)</f>
        <v>42273.553113553113</v>
      </c>
      <c r="J5" s="206" t="s">
        <v>228</v>
      </c>
      <c r="K5" s="207">
        <f>G5+G15+G25+G35</f>
        <v>176786.47052564102</v>
      </c>
    </row>
    <row r="6" spans="2:16">
      <c r="B6" s="269"/>
      <c r="C6" s="206" t="s">
        <v>229</v>
      </c>
      <c r="D6" s="207">
        <v>3974.3589743589741</v>
      </c>
      <c r="E6" s="207">
        <v>4769.2307692307695</v>
      </c>
      <c r="F6" s="207">
        <v>4292.3076923076924</v>
      </c>
      <c r="G6" s="207">
        <f t="shared" ref="G6:G11" si="0">SUM(D6:F6)</f>
        <v>13035.897435897437</v>
      </c>
      <c r="J6" s="206" t="s">
        <v>230</v>
      </c>
      <c r="K6" s="207">
        <f>SUM(G9)+SUM(G19)+SUM(G29)+SUM(G39)+G45</f>
        <v>163836.64879120881</v>
      </c>
    </row>
    <row r="7" spans="2:16">
      <c r="B7" s="269"/>
      <c r="C7" s="206" t="s">
        <v>231</v>
      </c>
      <c r="D7" s="207">
        <v>2668.4981684981685</v>
      </c>
      <c r="E7" s="207">
        <v>3202.1978021978025</v>
      </c>
      <c r="F7" s="207">
        <v>2881.9780219780223</v>
      </c>
      <c r="G7" s="207">
        <f t="shared" si="0"/>
        <v>8752.6739926739938</v>
      </c>
      <c r="J7" s="206" t="s">
        <v>232</v>
      </c>
      <c r="K7" s="207">
        <f>SUM(G7:G8)+G10+SUM(G17:G18)+G20+SUM(G27:G28)+G30+SUM(G37:G38)+G40</f>
        <v>106648.03382600733</v>
      </c>
    </row>
    <row r="8" spans="2:16">
      <c r="B8" s="269"/>
      <c r="C8" s="206" t="s">
        <v>233</v>
      </c>
      <c r="D8" s="207">
        <v>4258.2417582417584</v>
      </c>
      <c r="E8" s="207">
        <v>5109.8901098901106</v>
      </c>
      <c r="F8" s="207">
        <v>4598.9010989010994</v>
      </c>
      <c r="G8" s="207">
        <f t="shared" si="0"/>
        <v>13967.03296703297</v>
      </c>
      <c r="J8" s="206" t="s">
        <v>234</v>
      </c>
      <c r="K8" s="207">
        <f>G46+G11+G21+G31+G41</f>
        <v>64561.928287545787</v>
      </c>
    </row>
    <row r="9" spans="2:16">
      <c r="B9" s="269"/>
      <c r="C9" s="206" t="s">
        <v>235</v>
      </c>
      <c r="D9" s="207">
        <v>10645.604395604396</v>
      </c>
      <c r="E9" s="207">
        <v>12774.725274725275</v>
      </c>
      <c r="F9" s="207">
        <v>11497.252747252747</v>
      </c>
      <c r="G9" s="207">
        <f t="shared" si="0"/>
        <v>34917.582417582424</v>
      </c>
      <c r="J9" s="206" t="s">
        <v>236</v>
      </c>
      <c r="K9" s="207">
        <f>G6+G16+G26+G36</f>
        <v>51295.645608058607</v>
      </c>
    </row>
    <row r="10" spans="2:16">
      <c r="B10" s="269"/>
      <c r="C10" s="206" t="s">
        <v>237</v>
      </c>
      <c r="D10" s="207">
        <v>1640.8424908424909</v>
      </c>
      <c r="E10" s="207">
        <v>1969.0109890109891</v>
      </c>
      <c r="F10" s="207">
        <v>1772.1098901098901</v>
      </c>
      <c r="G10" s="207">
        <f t="shared" si="0"/>
        <v>5381.9633699633705</v>
      </c>
      <c r="J10" s="206" t="s">
        <v>238</v>
      </c>
      <c r="K10" s="207">
        <v>0</v>
      </c>
    </row>
    <row r="11" spans="2:16">
      <c r="B11" s="265"/>
      <c r="C11" s="206" t="s">
        <v>239</v>
      </c>
      <c r="D11" s="207">
        <v>2271.0622710622711</v>
      </c>
      <c r="E11" s="207">
        <v>2725.2747252747254</v>
      </c>
      <c r="F11" s="207">
        <v>2452.7472527472528</v>
      </c>
      <c r="G11" s="207">
        <f t="shared" si="0"/>
        <v>7449.0842490842497</v>
      </c>
      <c r="J11" s="206" t="s">
        <v>240</v>
      </c>
      <c r="K11" s="207">
        <v>0</v>
      </c>
    </row>
    <row r="12" spans="2:16">
      <c r="B12" s="204"/>
      <c r="C12" s="204" t="s">
        <v>14</v>
      </c>
      <c r="D12" s="208">
        <v>38346.886446886449</v>
      </c>
      <c r="E12" s="208">
        <v>46016.26373626374</v>
      </c>
      <c r="F12" s="208">
        <v>41414.637362637361</v>
      </c>
      <c r="G12" s="209">
        <f>SUM(G5:G11)</f>
        <v>125777.78754578755</v>
      </c>
      <c r="J12" s="204" t="s">
        <v>14</v>
      </c>
      <c r="K12" s="209">
        <f>SUM(K5:K11)</f>
        <v>563128.7270384616</v>
      </c>
    </row>
    <row r="13" spans="2:16">
      <c r="D13" s="210"/>
      <c r="E13" s="210"/>
      <c r="F13" s="210"/>
    </row>
    <row r="14" spans="2:16">
      <c r="B14" s="204" t="s">
        <v>83</v>
      </c>
      <c r="C14" s="204" t="s">
        <v>84</v>
      </c>
      <c r="D14" s="205">
        <v>2015</v>
      </c>
      <c r="E14" s="205">
        <v>2016</v>
      </c>
      <c r="F14" s="205">
        <v>2017</v>
      </c>
      <c r="G14" s="205" t="s">
        <v>223</v>
      </c>
      <c r="J14" s="175" t="s">
        <v>273</v>
      </c>
    </row>
    <row r="15" spans="2:16">
      <c r="B15" s="264" t="s">
        <v>241</v>
      </c>
      <c r="C15" s="206" t="s">
        <v>227</v>
      </c>
      <c r="D15" s="207">
        <v>13017.161172161172</v>
      </c>
      <c r="E15" s="207">
        <v>15620.593406593405</v>
      </c>
      <c r="F15" s="207">
        <v>14058.534065934065</v>
      </c>
      <c r="G15" s="207">
        <f>SUM(D15:F15)</f>
        <v>42696.28864468864</v>
      </c>
    </row>
    <row r="16" spans="2:16">
      <c r="B16" s="269"/>
      <c r="C16" s="206" t="s">
        <v>229</v>
      </c>
      <c r="D16" s="207">
        <v>4014.1025641025644</v>
      </c>
      <c r="E16" s="207">
        <v>4816.9230769230771</v>
      </c>
      <c r="F16" s="207">
        <v>4335.2307692307695</v>
      </c>
      <c r="G16" s="207">
        <f t="shared" ref="G16:G21" si="1">SUM(D16:F16)</f>
        <v>13166.25641025641</v>
      </c>
      <c r="J16" s="175" t="s">
        <v>250</v>
      </c>
      <c r="P16" s="173"/>
    </row>
    <row r="17" spans="2:16">
      <c r="B17" s="269"/>
      <c r="C17" s="206" t="s">
        <v>231</v>
      </c>
      <c r="D17" s="207">
        <v>2695.1831501831502</v>
      </c>
      <c r="E17" s="207">
        <v>3234.2197802197802</v>
      </c>
      <c r="F17" s="207">
        <v>2910.7978021978024</v>
      </c>
      <c r="G17" s="207">
        <f t="shared" si="1"/>
        <v>8840.2007326007333</v>
      </c>
      <c r="J17" s="214" t="s">
        <v>251</v>
      </c>
      <c r="K17" s="204" t="s">
        <v>252</v>
      </c>
      <c r="L17" s="268" t="s">
        <v>253</v>
      </c>
      <c r="M17" s="268"/>
      <c r="N17" s="268"/>
      <c r="O17" s="268"/>
      <c r="P17" s="173"/>
    </row>
    <row r="18" spans="2:16">
      <c r="B18" s="269"/>
      <c r="C18" s="206" t="s">
        <v>233</v>
      </c>
      <c r="D18" s="207">
        <v>4300.8241758241757</v>
      </c>
      <c r="E18" s="207">
        <v>5160.9890109890111</v>
      </c>
      <c r="F18" s="207">
        <v>4644.8901098901106</v>
      </c>
      <c r="G18" s="207">
        <f t="shared" si="1"/>
        <v>14106.703296703297</v>
      </c>
      <c r="J18" s="215"/>
      <c r="K18" s="206"/>
      <c r="L18" s="204" t="s">
        <v>254</v>
      </c>
      <c r="M18" s="204" t="s">
        <v>255</v>
      </c>
      <c r="N18" s="204" t="s">
        <v>256</v>
      </c>
      <c r="O18" s="204" t="s">
        <v>257</v>
      </c>
      <c r="P18" s="173"/>
    </row>
    <row r="19" spans="2:16">
      <c r="B19" s="269"/>
      <c r="C19" s="206" t="s">
        <v>235</v>
      </c>
      <c r="D19" s="207">
        <v>10752.06043956044</v>
      </c>
      <c r="E19" s="207">
        <v>12902.472527472526</v>
      </c>
      <c r="F19" s="207">
        <v>11612.225274725275</v>
      </c>
      <c r="G19" s="207">
        <f t="shared" si="1"/>
        <v>35266.758241758245</v>
      </c>
      <c r="J19" s="215" t="s">
        <v>258</v>
      </c>
      <c r="K19" s="206" t="s">
        <v>259</v>
      </c>
      <c r="L19" s="206">
        <v>0</v>
      </c>
      <c r="M19" s="206">
        <v>0</v>
      </c>
      <c r="N19" s="206">
        <v>0</v>
      </c>
      <c r="O19" s="206">
        <v>0</v>
      </c>
      <c r="P19" s="173"/>
    </row>
    <row r="20" spans="2:16">
      <c r="B20" s="269"/>
      <c r="C20" s="206" t="s">
        <v>237</v>
      </c>
      <c r="D20" s="207">
        <v>1657.2509157509157</v>
      </c>
      <c r="E20" s="207">
        <v>1988.7010989010989</v>
      </c>
      <c r="F20" s="207">
        <v>1789.8309890109892</v>
      </c>
      <c r="G20" s="207">
        <f t="shared" si="1"/>
        <v>5435.7830036630039</v>
      </c>
      <c r="J20" s="215" t="s">
        <v>260</v>
      </c>
      <c r="K20" s="206" t="s">
        <v>259</v>
      </c>
      <c r="L20" s="216">
        <v>250000</v>
      </c>
      <c r="M20" s="216">
        <v>250000</v>
      </c>
      <c r="N20" s="216">
        <v>250000</v>
      </c>
      <c r="O20" s="216">
        <v>750000</v>
      </c>
      <c r="P20" s="173"/>
    </row>
    <row r="21" spans="2:16">
      <c r="B21" s="265"/>
      <c r="C21" s="206" t="s">
        <v>239</v>
      </c>
      <c r="D21" s="207">
        <v>2293.7728937728939</v>
      </c>
      <c r="E21" s="207">
        <v>2752.5274725274726</v>
      </c>
      <c r="F21" s="207">
        <v>2477.2747252747254</v>
      </c>
      <c r="G21" s="207">
        <f t="shared" si="1"/>
        <v>7523.5750915750923</v>
      </c>
      <c r="J21" s="215" t="s">
        <v>261</v>
      </c>
      <c r="K21" s="206" t="s">
        <v>259</v>
      </c>
      <c r="L21" s="216">
        <v>400000</v>
      </c>
      <c r="M21" s="216">
        <v>400000</v>
      </c>
      <c r="N21" s="216">
        <v>400000</v>
      </c>
      <c r="O21" s="216">
        <v>1200000</v>
      </c>
      <c r="P21" s="173"/>
    </row>
    <row r="22" spans="2:16">
      <c r="B22" s="204"/>
      <c r="C22" s="204" t="s">
        <v>14</v>
      </c>
      <c r="D22" s="208">
        <v>38730.355311355313</v>
      </c>
      <c r="E22" s="208">
        <v>46476.426373626375</v>
      </c>
      <c r="F22" s="208">
        <v>41828.783736263737</v>
      </c>
      <c r="G22" s="209">
        <f>SUM(G15:G21)</f>
        <v>127035.56542124542</v>
      </c>
      <c r="J22" s="215" t="s">
        <v>262</v>
      </c>
      <c r="K22" s="206" t="s">
        <v>259</v>
      </c>
      <c r="L22" s="216">
        <v>564006</v>
      </c>
      <c r="M22" s="216">
        <v>564006</v>
      </c>
      <c r="N22" s="216">
        <v>564006</v>
      </c>
      <c r="O22" s="216">
        <v>1692018</v>
      </c>
      <c r="P22" s="173"/>
    </row>
    <row r="23" spans="2:16">
      <c r="D23" s="210"/>
      <c r="E23" s="210"/>
      <c r="F23" s="210"/>
      <c r="J23" s="204" t="s">
        <v>14</v>
      </c>
      <c r="K23" s="204"/>
      <c r="L23" s="217">
        <v>1214006</v>
      </c>
      <c r="M23" s="217">
        <v>1214006</v>
      </c>
      <c r="N23" s="217">
        <v>1214006</v>
      </c>
      <c r="O23" s="217">
        <v>3642018</v>
      </c>
      <c r="P23" s="173"/>
    </row>
    <row r="24" spans="2:16">
      <c r="B24" s="204" t="s">
        <v>83</v>
      </c>
      <c r="C24" s="204" t="s">
        <v>84</v>
      </c>
      <c r="D24" s="205">
        <v>2015</v>
      </c>
      <c r="E24" s="205">
        <v>2016</v>
      </c>
      <c r="F24" s="205">
        <v>2017</v>
      </c>
      <c r="G24" s="205" t="s">
        <v>223</v>
      </c>
      <c r="P24" s="173"/>
    </row>
    <row r="25" spans="2:16">
      <c r="B25" s="264" t="s">
        <v>242</v>
      </c>
      <c r="C25" s="206" t="s">
        <v>227</v>
      </c>
      <c r="D25" s="207">
        <v>13926.607604395604</v>
      </c>
      <c r="E25" s="207">
        <v>16711.929102564103</v>
      </c>
      <c r="F25" s="207">
        <v>15040.736192307691</v>
      </c>
      <c r="G25" s="207">
        <f>SUM(D25:F25)</f>
        <v>45679.272899267395</v>
      </c>
      <c r="P25" s="173"/>
    </row>
    <row r="26" spans="2:16">
      <c r="B26" s="269"/>
      <c r="C26" s="206" t="s">
        <v>229</v>
      </c>
      <c r="D26" s="207">
        <v>3312.8394139194138</v>
      </c>
      <c r="E26" s="207">
        <v>3975.4072967032971</v>
      </c>
      <c r="F26" s="207">
        <v>3577.8665897435899</v>
      </c>
      <c r="G26" s="207">
        <f t="shared" ref="G26:G31" si="2">SUM(D26:F26)</f>
        <v>10866.1133003663</v>
      </c>
      <c r="J26" s="175" t="s">
        <v>263</v>
      </c>
      <c r="P26" s="173"/>
    </row>
    <row r="27" spans="2:16">
      <c r="B27" s="269"/>
      <c r="C27" s="206" t="s">
        <v>231</v>
      </c>
      <c r="D27" s="207">
        <v>1757.9561758241757</v>
      </c>
      <c r="E27" s="207">
        <v>2109.5473882783881</v>
      </c>
      <c r="F27" s="207">
        <v>1898.592672161172</v>
      </c>
      <c r="G27" s="207">
        <f t="shared" si="2"/>
        <v>5766.0962362637356</v>
      </c>
      <c r="J27" s="204" t="s">
        <v>251</v>
      </c>
      <c r="K27" s="204" t="s">
        <v>252</v>
      </c>
      <c r="L27" s="222" t="s">
        <v>264</v>
      </c>
      <c r="M27" s="222"/>
      <c r="N27" s="222"/>
      <c r="O27" s="222"/>
      <c r="P27" s="173"/>
    </row>
    <row r="28" spans="2:16">
      <c r="B28" s="269"/>
      <c r="C28" s="206" t="s">
        <v>233</v>
      </c>
      <c r="D28" s="207">
        <v>3650.8575091575094</v>
      </c>
      <c r="E28" s="207">
        <v>4381.0290109890111</v>
      </c>
      <c r="F28" s="207">
        <v>3942.9261098901102</v>
      </c>
      <c r="G28" s="207">
        <f t="shared" si="2"/>
        <v>11974.812630036631</v>
      </c>
      <c r="J28" s="206"/>
      <c r="K28" s="206"/>
      <c r="L28" s="218" t="s">
        <v>254</v>
      </c>
      <c r="M28" s="218" t="s">
        <v>255</v>
      </c>
      <c r="N28" s="218" t="s">
        <v>256</v>
      </c>
      <c r="O28" s="218" t="s">
        <v>257</v>
      </c>
      <c r="P28" s="173"/>
    </row>
    <row r="29" spans="2:16">
      <c r="B29" s="269"/>
      <c r="C29" s="206" t="s">
        <v>235</v>
      </c>
      <c r="D29" s="207">
        <v>11256.264652014654</v>
      </c>
      <c r="E29" s="207">
        <v>13507.517582417582</v>
      </c>
      <c r="F29" s="207">
        <v>12156.765824175824</v>
      </c>
      <c r="G29" s="207">
        <f t="shared" si="2"/>
        <v>36920.548058608059</v>
      </c>
      <c r="J29" s="206" t="s">
        <v>258</v>
      </c>
      <c r="K29" s="206" t="s">
        <v>259</v>
      </c>
      <c r="L29" s="216">
        <v>1116310</v>
      </c>
      <c r="M29" s="216">
        <v>1144218</v>
      </c>
      <c r="N29" s="216">
        <v>1172824</v>
      </c>
      <c r="O29" s="216">
        <v>3433352</v>
      </c>
      <c r="P29" s="173"/>
    </row>
    <row r="30" spans="2:16">
      <c r="B30" s="269"/>
      <c r="C30" s="206" t="s">
        <v>237</v>
      </c>
      <c r="D30" s="207">
        <v>534.33064835164839</v>
      </c>
      <c r="E30" s="207">
        <v>641.19678937728941</v>
      </c>
      <c r="F30" s="207">
        <v>577.07715018315014</v>
      </c>
      <c r="G30" s="207">
        <f t="shared" si="2"/>
        <v>1752.6045879120879</v>
      </c>
      <c r="J30" s="206" t="s">
        <v>260</v>
      </c>
      <c r="K30" s="206" t="s">
        <v>259</v>
      </c>
      <c r="L30" s="216">
        <v>1123155</v>
      </c>
      <c r="M30" s="216">
        <v>1151234</v>
      </c>
      <c r="N30" s="216">
        <v>1180015</v>
      </c>
      <c r="O30" s="216">
        <v>3454405</v>
      </c>
      <c r="P30" s="173"/>
    </row>
    <row r="31" spans="2:16">
      <c r="B31" s="265"/>
      <c r="C31" s="206" t="s">
        <v>239</v>
      </c>
      <c r="D31" s="207">
        <v>1284.7308424908426</v>
      </c>
      <c r="E31" s="207">
        <v>1541.677010989011</v>
      </c>
      <c r="F31" s="207">
        <v>1387.5092985347987</v>
      </c>
      <c r="G31" s="207">
        <f t="shared" si="2"/>
        <v>4213.9171520146519</v>
      </c>
      <c r="J31" s="206" t="s">
        <v>261</v>
      </c>
      <c r="K31" s="206" t="s">
        <v>259</v>
      </c>
      <c r="L31" s="216">
        <v>817282</v>
      </c>
      <c r="M31" s="216">
        <v>837714</v>
      </c>
      <c r="N31" s="216">
        <v>858656</v>
      </c>
      <c r="O31" s="216">
        <v>2513652</v>
      </c>
      <c r="P31" s="173"/>
    </row>
    <row r="32" spans="2:16">
      <c r="B32" s="204"/>
      <c r="C32" s="204" t="s">
        <v>14</v>
      </c>
      <c r="D32" s="208">
        <v>35723.586846153848</v>
      </c>
      <c r="E32" s="208">
        <v>42868.304181318679</v>
      </c>
      <c r="F32" s="208">
        <v>38581.473836996338</v>
      </c>
      <c r="G32" s="209">
        <f>SUM(G25:G31)</f>
        <v>117173.36486446887</v>
      </c>
      <c r="J32" s="206" t="s">
        <v>262</v>
      </c>
      <c r="K32" s="206" t="s">
        <v>259</v>
      </c>
      <c r="L32" s="216">
        <v>1123624</v>
      </c>
      <c r="M32" s="216">
        <v>1151714</v>
      </c>
      <c r="N32" s="216">
        <v>1180507</v>
      </c>
      <c r="O32" s="216">
        <v>3455846</v>
      </c>
      <c r="P32" s="173"/>
    </row>
    <row r="33" spans="2:16">
      <c r="D33" s="210"/>
      <c r="E33" s="210"/>
      <c r="F33" s="210"/>
      <c r="J33" s="204" t="s">
        <v>14</v>
      </c>
      <c r="K33" s="204"/>
      <c r="L33" s="217">
        <v>4180371</v>
      </c>
      <c r="M33" s="217">
        <v>4284881</v>
      </c>
      <c r="N33" s="217">
        <v>4392003</v>
      </c>
      <c r="O33" s="217">
        <v>12857254</v>
      </c>
      <c r="P33" s="173"/>
    </row>
    <row r="34" spans="2:16">
      <c r="B34" s="204" t="s">
        <v>83</v>
      </c>
      <c r="C34" s="204" t="s">
        <v>84</v>
      </c>
      <c r="D34" s="205">
        <v>2015</v>
      </c>
      <c r="E34" s="205">
        <v>2016</v>
      </c>
      <c r="F34" s="205">
        <v>2017</v>
      </c>
      <c r="G34" s="205" t="s">
        <v>223</v>
      </c>
      <c r="P34" s="173"/>
    </row>
    <row r="35" spans="2:16">
      <c r="B35" s="264" t="s">
        <v>243</v>
      </c>
      <c r="C35" s="206" t="s">
        <v>227</v>
      </c>
      <c r="D35" s="207">
        <v>14066.267032967033</v>
      </c>
      <c r="E35" s="207">
        <v>16879.520439560441</v>
      </c>
      <c r="F35" s="207">
        <v>15191.568395604398</v>
      </c>
      <c r="G35" s="207">
        <f>SUM(D35:F35)</f>
        <v>46137.355868131868</v>
      </c>
      <c r="P35" s="173"/>
    </row>
    <row r="36" spans="2:16">
      <c r="B36" s="269"/>
      <c r="C36" s="206" t="s">
        <v>229</v>
      </c>
      <c r="D36" s="207">
        <v>4337.6153846153848</v>
      </c>
      <c r="E36" s="207">
        <v>5205.1384615384613</v>
      </c>
      <c r="F36" s="207">
        <v>4684.6246153846159</v>
      </c>
      <c r="G36" s="207">
        <f t="shared" ref="G36:G41" si="3">SUM(D36:F36)</f>
        <v>14227.378461538461</v>
      </c>
      <c r="J36" s="175" t="s">
        <v>265</v>
      </c>
      <c r="P36" s="173"/>
    </row>
    <row r="37" spans="2:16" ht="15" customHeight="1">
      <c r="B37" s="269"/>
      <c r="C37" s="206" t="s">
        <v>231</v>
      </c>
      <c r="D37" s="207">
        <v>2912.3989010989012</v>
      </c>
      <c r="E37" s="207">
        <v>3494.8786813186812</v>
      </c>
      <c r="F37" s="207">
        <v>3145.3908131868134</v>
      </c>
      <c r="G37" s="207">
        <f t="shared" si="3"/>
        <v>9552.6683956043962</v>
      </c>
      <c r="J37" s="204" t="s">
        <v>266</v>
      </c>
      <c r="K37" s="204" t="s">
        <v>252</v>
      </c>
      <c r="L37" s="222" t="s">
        <v>267</v>
      </c>
      <c r="M37" s="222"/>
      <c r="N37" s="222"/>
      <c r="O37" s="222"/>
      <c r="P37" s="219" t="s">
        <v>209</v>
      </c>
    </row>
    <row r="38" spans="2:16" ht="16" customHeight="1">
      <c r="B38" s="269"/>
      <c r="C38" s="206" t="s">
        <v>233</v>
      </c>
      <c r="D38" s="207">
        <v>4647.4450549450548</v>
      </c>
      <c r="E38" s="207">
        <v>5576.934065934066</v>
      </c>
      <c r="F38" s="207">
        <v>5019.2406593406595</v>
      </c>
      <c r="G38" s="207">
        <f t="shared" si="3"/>
        <v>15243.61978021978</v>
      </c>
      <c r="J38" s="206"/>
      <c r="K38" s="206"/>
      <c r="L38" s="220">
        <v>2015</v>
      </c>
      <c r="M38" s="220">
        <v>2016</v>
      </c>
      <c r="N38" s="220">
        <v>2017</v>
      </c>
      <c r="O38" s="220" t="s">
        <v>268</v>
      </c>
      <c r="P38" s="221"/>
    </row>
    <row r="39" spans="2:16" ht="14" customHeight="1">
      <c r="B39" s="269"/>
      <c r="C39" s="206" t="s">
        <v>235</v>
      </c>
      <c r="D39" s="207">
        <v>11618.612637362638</v>
      </c>
      <c r="E39" s="207">
        <v>13942.335164835164</v>
      </c>
      <c r="F39" s="207">
        <v>12548.101648351649</v>
      </c>
      <c r="G39" s="207">
        <f t="shared" si="3"/>
        <v>38109.04945054945</v>
      </c>
      <c r="J39" s="206" t="s">
        <v>258</v>
      </c>
      <c r="K39" s="206" t="s">
        <v>259</v>
      </c>
      <c r="L39" s="216">
        <v>479159</v>
      </c>
      <c r="M39" s="216">
        <v>609072</v>
      </c>
      <c r="N39" s="216">
        <v>491138</v>
      </c>
      <c r="O39" s="216">
        <v>1579369</v>
      </c>
      <c r="P39" s="221" t="s">
        <v>269</v>
      </c>
    </row>
    <row r="40" spans="2:16" ht="16" customHeight="1">
      <c r="B40" s="269"/>
      <c r="C40" s="206" t="s">
        <v>237</v>
      </c>
      <c r="D40" s="207">
        <v>1790.8154945054944</v>
      </c>
      <c r="E40" s="207">
        <v>2148.9785934065935</v>
      </c>
      <c r="F40" s="207">
        <v>1934.0807454212456</v>
      </c>
      <c r="G40" s="207">
        <f t="shared" si="3"/>
        <v>5873.8748333333333</v>
      </c>
      <c r="J40" s="206" t="s">
        <v>260</v>
      </c>
      <c r="K40" s="206" t="s">
        <v>259</v>
      </c>
      <c r="L40" s="216">
        <v>721890</v>
      </c>
      <c r="M40" s="216">
        <v>761327</v>
      </c>
      <c r="N40" s="216">
        <v>492223</v>
      </c>
      <c r="O40" s="216">
        <v>1975440</v>
      </c>
      <c r="P40" s="221" t="s">
        <v>270</v>
      </c>
    </row>
    <row r="41" spans="2:16">
      <c r="B41" s="265"/>
      <c r="C41" s="206" t="s">
        <v>239</v>
      </c>
      <c r="D41" s="207">
        <v>2478.6373626373629</v>
      </c>
      <c r="E41" s="207">
        <v>2974.3648351648349</v>
      </c>
      <c r="F41" s="207">
        <v>2676.9283516483515</v>
      </c>
      <c r="G41" s="207">
        <f t="shared" si="3"/>
        <v>8129.9305494505497</v>
      </c>
      <c r="J41" s="206" t="s">
        <v>261</v>
      </c>
      <c r="K41" s="206" t="s">
        <v>259</v>
      </c>
      <c r="L41" s="216">
        <v>511995</v>
      </c>
      <c r="M41" s="216">
        <v>555052</v>
      </c>
      <c r="N41" s="216">
        <v>280662</v>
      </c>
      <c r="O41" s="216">
        <v>1347709</v>
      </c>
      <c r="P41" s="221" t="s">
        <v>271</v>
      </c>
    </row>
    <row r="42" spans="2:16">
      <c r="B42" s="204"/>
      <c r="C42" s="204" t="s">
        <v>14</v>
      </c>
      <c r="D42" s="208">
        <v>41851.791868131862</v>
      </c>
      <c r="E42" s="208">
        <v>50222.150241758245</v>
      </c>
      <c r="F42" s="208">
        <v>45199.935228937728</v>
      </c>
      <c r="G42" s="209">
        <f>SUM(G35:G41)</f>
        <v>137273.87733882785</v>
      </c>
      <c r="J42" s="206" t="s">
        <v>262</v>
      </c>
      <c r="K42" s="206" t="s">
        <v>259</v>
      </c>
      <c r="L42" s="216">
        <v>484724</v>
      </c>
      <c r="M42" s="216">
        <v>832548</v>
      </c>
      <c r="N42" s="216">
        <v>308977</v>
      </c>
      <c r="O42" s="216">
        <v>1626249</v>
      </c>
      <c r="P42" s="221" t="s">
        <v>269</v>
      </c>
    </row>
    <row r="43" spans="2:16">
      <c r="D43" s="210"/>
      <c r="E43" s="210"/>
      <c r="F43" s="210"/>
      <c r="J43" s="204" t="s">
        <v>272</v>
      </c>
      <c r="K43" s="204"/>
      <c r="L43" s="217">
        <v>2197768</v>
      </c>
      <c r="M43" s="217">
        <v>2757999</v>
      </c>
      <c r="N43" s="217">
        <v>1573000</v>
      </c>
      <c r="O43" s="217">
        <v>6528767</v>
      </c>
      <c r="P43" s="221"/>
    </row>
    <row r="44" spans="2:16">
      <c r="B44" s="204" t="s">
        <v>83</v>
      </c>
      <c r="C44" s="204" t="s">
        <v>244</v>
      </c>
      <c r="D44" s="205">
        <v>2015</v>
      </c>
      <c r="E44" s="205">
        <v>2016</v>
      </c>
      <c r="F44" s="205">
        <v>2017</v>
      </c>
      <c r="G44" s="205" t="s">
        <v>223</v>
      </c>
      <c r="P44" s="173"/>
    </row>
    <row r="45" spans="2:16">
      <c r="B45" s="264" t="s">
        <v>245</v>
      </c>
      <c r="C45" s="206" t="s">
        <v>246</v>
      </c>
      <c r="D45" s="207">
        <v>5677.6556776556781</v>
      </c>
      <c r="E45" s="207">
        <v>6813.1868131868141</v>
      </c>
      <c r="F45" s="207">
        <v>6131.868131868132</v>
      </c>
      <c r="G45" s="207">
        <f>SUM(D45:F45)</f>
        <v>18622.710622710627</v>
      </c>
    </row>
    <row r="46" spans="2:16">
      <c r="B46" s="265"/>
      <c r="C46" s="206" t="s">
        <v>247</v>
      </c>
      <c r="D46" s="207">
        <v>37245.421245421247</v>
      </c>
      <c r="E46" s="207">
        <v>0</v>
      </c>
      <c r="F46" s="207">
        <v>0</v>
      </c>
      <c r="G46" s="207">
        <f>SUM(D46:F46)</f>
        <v>37245.421245421247</v>
      </c>
      <c r="J46" t="s">
        <v>274</v>
      </c>
      <c r="K46" s="202">
        <v>10488</v>
      </c>
      <c r="L46" t="s">
        <v>275</v>
      </c>
    </row>
    <row r="47" spans="2:16">
      <c r="B47" s="204"/>
      <c r="C47" s="204" t="s">
        <v>14</v>
      </c>
      <c r="D47" s="208">
        <v>42923.076923076922</v>
      </c>
      <c r="E47" s="208">
        <v>6813.1868131868141</v>
      </c>
      <c r="F47" s="208">
        <v>6131.868131868132</v>
      </c>
      <c r="G47" s="209">
        <f>SUM(D47:F47)</f>
        <v>55868.131868131866</v>
      </c>
    </row>
    <row r="48" spans="2:16">
      <c r="B48" s="211"/>
      <c r="C48" s="211"/>
      <c r="D48" s="210"/>
      <c r="E48" s="210"/>
      <c r="F48" s="210"/>
    </row>
    <row r="49" spans="2:7">
      <c r="B49" s="266" t="s">
        <v>248</v>
      </c>
      <c r="C49" s="267"/>
      <c r="D49" s="212">
        <v>2015</v>
      </c>
      <c r="E49" s="205">
        <v>2016</v>
      </c>
      <c r="F49" s="205">
        <v>2017</v>
      </c>
      <c r="G49" s="205" t="s">
        <v>249</v>
      </c>
    </row>
    <row r="50" spans="2:7">
      <c r="B50" s="267"/>
      <c r="C50" s="267"/>
      <c r="D50" s="213">
        <v>197575.69739560399</v>
      </c>
      <c r="E50" s="209">
        <v>192396.33134615383</v>
      </c>
      <c r="F50" s="209">
        <v>173156.69829670328</v>
      </c>
      <c r="G50" s="209">
        <f>SUM(D50:F50)</f>
        <v>563128.72703846113</v>
      </c>
    </row>
    <row r="52" spans="2:7">
      <c r="B52" s="223" t="s">
        <v>276</v>
      </c>
      <c r="C52" s="223"/>
      <c r="D52" s="237">
        <f>D50+4*$K46</f>
        <v>239527.69739560399</v>
      </c>
      <c r="E52" s="224">
        <f t="shared" ref="E52:G52" si="4">E50+4*$K46</f>
        <v>234348.33134615383</v>
      </c>
      <c r="F52" s="224">
        <f t="shared" si="4"/>
        <v>215108.69829670328</v>
      </c>
      <c r="G52" s="224">
        <f t="shared" si="4"/>
        <v>605080.72703846113</v>
      </c>
    </row>
    <row r="53" spans="2:7">
      <c r="D53" s="210"/>
    </row>
  </sheetData>
  <mergeCells count="7">
    <mergeCell ref="B45:B46"/>
    <mergeCell ref="B49:C50"/>
    <mergeCell ref="L17:O17"/>
    <mergeCell ref="B5:B11"/>
    <mergeCell ref="B15:B21"/>
    <mergeCell ref="B25:B31"/>
    <mergeCell ref="B35:B4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3"/>
  <sheetViews>
    <sheetView workbookViewId="0">
      <selection activeCell="Q12" sqref="Q12"/>
    </sheetView>
  </sheetViews>
  <sheetFormatPr baseColWidth="10" defaultRowHeight="14" x14ac:dyDescent="0"/>
  <cols>
    <col min="3" max="3" width="48.1640625" customWidth="1"/>
    <col min="4" max="7" width="11.5" bestFit="1" customWidth="1"/>
    <col min="10" max="10" width="22.6640625" customWidth="1"/>
  </cols>
  <sheetData>
    <row r="1" spans="2:12">
      <c r="B1" t="s">
        <v>220</v>
      </c>
    </row>
    <row r="3" spans="2:12">
      <c r="B3" s="175" t="s">
        <v>316</v>
      </c>
      <c r="J3" s="175" t="s">
        <v>222</v>
      </c>
      <c r="K3" s="175"/>
    </row>
    <row r="4" spans="2:12">
      <c r="B4" s="272" t="s">
        <v>83</v>
      </c>
      <c r="C4" s="273" t="s">
        <v>224</v>
      </c>
      <c r="D4" s="274" t="s">
        <v>317</v>
      </c>
      <c r="E4" s="274">
        <v>2016</v>
      </c>
      <c r="F4" s="277">
        <v>2017</v>
      </c>
      <c r="G4" s="270" t="s">
        <v>318</v>
      </c>
      <c r="J4" s="220" t="s">
        <v>224</v>
      </c>
      <c r="K4" s="220" t="s">
        <v>225</v>
      </c>
    </row>
    <row r="5" spans="2:12">
      <c r="B5" s="272"/>
      <c r="C5" s="273"/>
      <c r="D5" s="275"/>
      <c r="E5" s="276"/>
      <c r="F5" s="278"/>
      <c r="G5" s="271"/>
      <c r="J5" s="206" t="s">
        <v>228</v>
      </c>
      <c r="K5" s="207">
        <f>G12</f>
        <v>114932.78388278389</v>
      </c>
    </row>
    <row r="6" spans="2:12">
      <c r="B6" s="279" t="s">
        <v>319</v>
      </c>
      <c r="C6" s="221" t="s">
        <v>320</v>
      </c>
      <c r="D6" s="240">
        <f>737200/273*1.55</f>
        <v>4185.5677655677655</v>
      </c>
      <c r="E6" s="241">
        <f>958360/273*1.55</f>
        <v>5441.2380952380954</v>
      </c>
      <c r="F6" s="242">
        <f>487200/273*1.55</f>
        <v>2766.1538461538462</v>
      </c>
      <c r="G6" s="243">
        <f>SUM(D6:F6)</f>
        <v>12392.959706959706</v>
      </c>
      <c r="J6" s="206" t="s">
        <v>230</v>
      </c>
      <c r="K6" s="207">
        <f>G9+SUM(G13:G20)</f>
        <v>198905.87912087911</v>
      </c>
    </row>
    <row r="7" spans="2:12">
      <c r="B7" s="279"/>
      <c r="C7" s="221" t="s">
        <v>321</v>
      </c>
      <c r="D7" s="240">
        <f>2000000/273*1.55</f>
        <v>11355.311355311356</v>
      </c>
      <c r="E7" s="241">
        <f>2600000/273*1.55</f>
        <v>14761.904761904761</v>
      </c>
      <c r="F7" s="242">
        <f>1750000/273*1.55</f>
        <v>9935.8974358974356</v>
      </c>
      <c r="G7" s="243">
        <f t="shared" ref="G7:G27" si="0">SUM(D7:F7)</f>
        <v>36053.113553113551</v>
      </c>
      <c r="J7" s="206" t="s">
        <v>232</v>
      </c>
      <c r="K7" s="207">
        <f>G6+G7+G8+G10</f>
        <v>106874.82783882784</v>
      </c>
    </row>
    <row r="8" spans="2:12">
      <c r="B8" s="279"/>
      <c r="C8" s="221" t="s">
        <v>322</v>
      </c>
      <c r="D8" s="240">
        <f>1300000/273*1.55</f>
        <v>7380.9523809523807</v>
      </c>
      <c r="E8" s="241">
        <f>1690000/273*1.55</f>
        <v>9595.2380952380954</v>
      </c>
      <c r="F8" s="242">
        <f>1050000/273*1.55</f>
        <v>5961.5384615384619</v>
      </c>
      <c r="G8" s="243">
        <f t="shared" si="0"/>
        <v>22937.728937728938</v>
      </c>
      <c r="J8" s="206" t="s">
        <v>234</v>
      </c>
      <c r="K8" s="207">
        <f>SUM(G22:G25)+G27</f>
        <v>88807.218772893772</v>
      </c>
    </row>
    <row r="9" spans="2:12">
      <c r="B9" s="279"/>
      <c r="C9" s="221" t="s">
        <v>323</v>
      </c>
      <c r="D9" s="240">
        <f>1020000/273*1.55</f>
        <v>5791.2087912087909</v>
      </c>
      <c r="E9" s="241">
        <f>1326000/273*1.55</f>
        <v>7528.5714285714284</v>
      </c>
      <c r="F9" s="242">
        <f>770000/273*1.55</f>
        <v>4371.7948717948721</v>
      </c>
      <c r="G9" s="243">
        <f t="shared" si="0"/>
        <v>17691.57509157509</v>
      </c>
      <c r="J9" s="206" t="s">
        <v>236</v>
      </c>
      <c r="K9" s="207">
        <f>G11</f>
        <v>10759.157509157511</v>
      </c>
    </row>
    <row r="10" spans="2:12" ht="28">
      <c r="B10" s="279"/>
      <c r="C10" s="221" t="s">
        <v>324</v>
      </c>
      <c r="D10" s="240">
        <f>1970000/273*1.55</f>
        <v>11184.981684981685</v>
      </c>
      <c r="E10" s="241">
        <f>2561000/273*1.55</f>
        <v>14540.476190476193</v>
      </c>
      <c r="F10" s="242">
        <f>1720000/273*1.55</f>
        <v>9765.5677655677664</v>
      </c>
      <c r="G10" s="243">
        <f t="shared" si="0"/>
        <v>35491.025641025641</v>
      </c>
      <c r="J10" s="206" t="s">
        <v>238</v>
      </c>
      <c r="K10" s="207">
        <v>0</v>
      </c>
    </row>
    <row r="11" spans="2:12" ht="28">
      <c r="B11" s="279"/>
      <c r="C11" s="221" t="s">
        <v>325</v>
      </c>
      <c r="D11" s="240">
        <f>650000/273*1.55</f>
        <v>3690.4761904761904</v>
      </c>
      <c r="E11" s="241">
        <f>845000/273*1.55</f>
        <v>4797.6190476190477</v>
      </c>
      <c r="F11" s="242">
        <f>400000/273*1.55</f>
        <v>2271.0622710622711</v>
      </c>
      <c r="G11" s="243">
        <f t="shared" si="0"/>
        <v>10759.157509157511</v>
      </c>
      <c r="J11" s="206" t="s">
        <v>240</v>
      </c>
      <c r="K11" s="207">
        <f>G21+G26</f>
        <v>151298.53186813189</v>
      </c>
    </row>
    <row r="12" spans="2:12" ht="28">
      <c r="B12" s="279"/>
      <c r="C12" s="221" t="s">
        <v>326</v>
      </c>
      <c r="D12" s="240">
        <f>6210000/273*1.55</f>
        <v>35258.241758241762</v>
      </c>
      <c r="E12" s="241">
        <f>8073000/273*1.55</f>
        <v>45835.71428571429</v>
      </c>
      <c r="F12" s="242">
        <f>5960000/273*1.55</f>
        <v>33838.827838827841</v>
      </c>
      <c r="G12" s="243">
        <f t="shared" si="0"/>
        <v>114932.78388278389</v>
      </c>
      <c r="J12" s="244" t="s">
        <v>14</v>
      </c>
      <c r="K12" s="245">
        <f>SUM(K5:K11)</f>
        <v>671578.39899267396</v>
      </c>
    </row>
    <row r="13" spans="2:12">
      <c r="B13" s="279"/>
      <c r="C13" s="221" t="s">
        <v>327</v>
      </c>
      <c r="D13" s="240">
        <f>1350000/273*1.55</f>
        <v>7664.8351648351654</v>
      </c>
      <c r="E13" s="241">
        <f>1755000/273*1.55</f>
        <v>9964.2857142857138</v>
      </c>
      <c r="F13" s="242">
        <f>1100000/273*1.55</f>
        <v>6245.4212454212457</v>
      </c>
      <c r="G13" s="243">
        <f t="shared" si="0"/>
        <v>23874.542124542124</v>
      </c>
    </row>
    <row r="14" spans="2:12">
      <c r="B14" s="279"/>
      <c r="C14" s="221" t="s">
        <v>328</v>
      </c>
      <c r="D14" s="240">
        <f>1620000/273*1.55</f>
        <v>9197.8021978021989</v>
      </c>
      <c r="E14" s="241">
        <f>2106000/273*1.55</f>
        <v>11957.142857142859</v>
      </c>
      <c r="F14" s="242">
        <f>1370000/273*1.55</f>
        <v>7778.3882783882782</v>
      </c>
      <c r="G14" s="243">
        <f t="shared" si="0"/>
        <v>28933.333333333336</v>
      </c>
    </row>
    <row r="15" spans="2:12">
      <c r="B15" s="279"/>
      <c r="C15" s="221" t="s">
        <v>329</v>
      </c>
      <c r="D15" s="240">
        <f>2200000/273*1.55</f>
        <v>12490.842490842491</v>
      </c>
      <c r="E15" s="241">
        <f>2860000/273*1.55</f>
        <v>16238.09523809524</v>
      </c>
      <c r="F15" s="242">
        <f>1950000/273*1.55</f>
        <v>11071.428571428572</v>
      </c>
      <c r="G15" s="243">
        <f t="shared" si="0"/>
        <v>39800.366300366302</v>
      </c>
      <c r="J15" s="282" t="s">
        <v>349</v>
      </c>
      <c r="K15" s="283"/>
      <c r="L15" s="283"/>
    </row>
    <row r="16" spans="2:12">
      <c r="B16" s="279"/>
      <c r="C16" s="221" t="s">
        <v>330</v>
      </c>
      <c r="D16" s="240">
        <f>2050000/273*1.55</f>
        <v>11639.19413919414</v>
      </c>
      <c r="E16" s="241">
        <f>2665000/273*1.55</f>
        <v>15130.95238095238</v>
      </c>
      <c r="F16" s="242">
        <f>1800000/273*1.55</f>
        <v>10219.780219780221</v>
      </c>
      <c r="G16" s="243">
        <f t="shared" si="0"/>
        <v>36989.926739926741</v>
      </c>
    </row>
    <row r="17" spans="2:17">
      <c r="B17" s="279"/>
      <c r="C17" s="246" t="s">
        <v>331</v>
      </c>
      <c r="D17" s="240"/>
      <c r="E17" s="241"/>
      <c r="F17" s="240">
        <f>750000/273*1.55</f>
        <v>4258.2417582417584</v>
      </c>
      <c r="G17" s="243">
        <f t="shared" si="0"/>
        <v>4258.2417582417584</v>
      </c>
      <c r="J17" s="253" t="s">
        <v>350</v>
      </c>
      <c r="K17" s="253">
        <v>2015</v>
      </c>
      <c r="L17" s="253">
        <v>2016</v>
      </c>
      <c r="M17" s="253">
        <v>2017</v>
      </c>
      <c r="N17" s="253" t="s">
        <v>136</v>
      </c>
    </row>
    <row r="18" spans="2:17">
      <c r="B18" s="279"/>
      <c r="C18" s="247" t="s">
        <v>332</v>
      </c>
      <c r="D18" s="240"/>
      <c r="E18" s="241"/>
      <c r="F18" s="242">
        <f>2800000/273*1.55</f>
        <v>15897.435897435897</v>
      </c>
      <c r="G18" s="243">
        <f t="shared" si="0"/>
        <v>15897.435897435897</v>
      </c>
      <c r="J18" s="206" t="s">
        <v>351</v>
      </c>
      <c r="K18" s="216">
        <v>1455000</v>
      </c>
      <c r="L18" s="216">
        <v>1475000</v>
      </c>
      <c r="M18" s="216">
        <v>1615000</v>
      </c>
      <c r="N18" s="216">
        <f>SUM(K18:M18)</f>
        <v>4545000</v>
      </c>
    </row>
    <row r="19" spans="2:17">
      <c r="B19" s="279"/>
      <c r="C19" s="247" t="s">
        <v>333</v>
      </c>
      <c r="D19" s="240"/>
      <c r="E19" s="241"/>
      <c r="F19" s="242">
        <f>1600000/273*1.55</f>
        <v>9084.2490842490843</v>
      </c>
      <c r="G19" s="243">
        <f t="shared" si="0"/>
        <v>9084.2490842490843</v>
      </c>
      <c r="J19" s="206"/>
      <c r="K19" s="206"/>
      <c r="L19" s="206"/>
      <c r="M19" s="206"/>
      <c r="N19" s="206"/>
    </row>
    <row r="20" spans="2:17">
      <c r="B20" s="279"/>
      <c r="C20" s="247" t="s">
        <v>334</v>
      </c>
      <c r="D20" s="240">
        <f>1313700/273*1.55</f>
        <v>7458.736263736263</v>
      </c>
      <c r="E20" s="241">
        <f>1313700/273*1.55</f>
        <v>7458.736263736263</v>
      </c>
      <c r="F20" s="242">
        <f>1313700/273*1.55</f>
        <v>7458.736263736263</v>
      </c>
      <c r="G20" s="243">
        <f t="shared" si="0"/>
        <v>22376.208791208788</v>
      </c>
    </row>
    <row r="21" spans="2:17">
      <c r="B21" s="279"/>
      <c r="C21" s="221" t="s">
        <v>335</v>
      </c>
      <c r="D21" s="240">
        <f>3166080/273*1.55</f>
        <v>17975.912087912089</v>
      </c>
      <c r="E21" s="240">
        <f>4115904/273*1.55</f>
        <v>23368.685714285715</v>
      </c>
      <c r="F21" s="242">
        <f>2866080/273*1.55</f>
        <v>16272.615384615387</v>
      </c>
      <c r="G21" s="243">
        <f t="shared" si="0"/>
        <v>57617.213186813198</v>
      </c>
      <c r="J21" t="s">
        <v>274</v>
      </c>
      <c r="K21" s="202">
        <v>10488</v>
      </c>
      <c r="L21" t="s">
        <v>275</v>
      </c>
    </row>
    <row r="22" spans="2:17" ht="15" customHeight="1">
      <c r="B22" s="279"/>
      <c r="C22" s="221" t="s">
        <v>336</v>
      </c>
      <c r="D22" s="240">
        <f>7250729.5/273*1.55</f>
        <v>41167.145512820513</v>
      </c>
      <c r="E22" s="240"/>
      <c r="F22" s="242"/>
      <c r="G22" s="243">
        <f t="shared" si="0"/>
        <v>41167.145512820513</v>
      </c>
      <c r="J22" s="281" t="s">
        <v>354</v>
      </c>
      <c r="K22" s="281"/>
      <c r="L22" s="281"/>
      <c r="M22" s="281"/>
      <c r="N22" s="281"/>
      <c r="O22" s="281"/>
      <c r="P22" s="281"/>
      <c r="Q22" s="281"/>
    </row>
    <row r="23" spans="2:17">
      <c r="B23" s="279"/>
      <c r="C23" s="221" t="s">
        <v>337</v>
      </c>
      <c r="D23" s="240">
        <f>600000/273*1.55</f>
        <v>3406.5934065934071</v>
      </c>
      <c r="E23" s="240">
        <f>573000/273*1.55</f>
        <v>3253.2967032967035</v>
      </c>
      <c r="F23" s="242">
        <f>364200/273*1.55</f>
        <v>2067.802197802198</v>
      </c>
      <c r="G23" s="243">
        <f t="shared" si="0"/>
        <v>8727.6923076923085</v>
      </c>
      <c r="J23" s="281"/>
      <c r="K23" s="281"/>
      <c r="L23" s="281"/>
      <c r="M23" s="281"/>
      <c r="N23" s="281"/>
      <c r="O23" s="281"/>
      <c r="P23" s="281"/>
      <c r="Q23" s="281"/>
    </row>
    <row r="24" spans="2:17">
      <c r="B24" s="279"/>
      <c r="C24" s="221" t="s">
        <v>338</v>
      </c>
      <c r="D24" s="240">
        <f>300000/273*1.55</f>
        <v>1703.2967032967035</v>
      </c>
      <c r="E24" s="240">
        <f>286500/273*1.55</f>
        <v>1626.6483516483518</v>
      </c>
      <c r="F24" s="242">
        <f>182100/273*1.55</f>
        <v>1033.901098901099</v>
      </c>
      <c r="G24" s="243">
        <f t="shared" si="0"/>
        <v>4363.8461538461543</v>
      </c>
      <c r="J24" s="281"/>
      <c r="K24" s="281"/>
      <c r="L24" s="281"/>
      <c r="M24" s="281"/>
      <c r="N24" s="281"/>
      <c r="O24" s="281"/>
      <c r="P24" s="281"/>
      <c r="Q24" s="281"/>
    </row>
    <row r="25" spans="2:17">
      <c r="B25" s="279"/>
      <c r="C25" s="221" t="s">
        <v>339</v>
      </c>
      <c r="D25" s="240">
        <f>150000/273*1.55</f>
        <v>851.64835164835176</v>
      </c>
      <c r="E25" s="240">
        <f>150000/273*1.55</f>
        <v>851.64835164835176</v>
      </c>
      <c r="F25" s="242">
        <f>150000/273*1.55</f>
        <v>851.64835164835176</v>
      </c>
      <c r="G25" s="243">
        <f t="shared" si="0"/>
        <v>2554.9450549450553</v>
      </c>
      <c r="J25" s="281"/>
      <c r="K25" s="281"/>
      <c r="L25" s="281"/>
      <c r="M25" s="281"/>
      <c r="N25" s="281"/>
      <c r="O25" s="281"/>
      <c r="P25" s="281"/>
      <c r="Q25" s="281"/>
    </row>
    <row r="26" spans="2:17">
      <c r="B26" s="279"/>
      <c r="C26" s="248" t="s">
        <v>340</v>
      </c>
      <c r="D26" s="240">
        <f>5500000/273*1.55</f>
        <v>31227.106227106229</v>
      </c>
      <c r="E26" s="240">
        <f>5500000/273*1.55</f>
        <v>31227.106227106229</v>
      </c>
      <c r="F26" s="242">
        <f>5500000/273*1.55</f>
        <v>31227.106227106229</v>
      </c>
      <c r="G26" s="243">
        <f t="shared" si="0"/>
        <v>93681.318681318691</v>
      </c>
      <c r="J26" s="281"/>
      <c r="K26" s="281"/>
      <c r="L26" s="281"/>
      <c r="M26" s="281"/>
      <c r="N26" s="281"/>
      <c r="O26" s="281"/>
      <c r="P26" s="281"/>
      <c r="Q26" s="281"/>
    </row>
    <row r="27" spans="2:17" ht="28">
      <c r="B27" s="279"/>
      <c r="C27" s="221" t="s">
        <v>341</v>
      </c>
      <c r="D27" s="240">
        <f>5635000/273*1.55</f>
        <v>31993.589743589742</v>
      </c>
      <c r="E27" s="240"/>
      <c r="F27" s="242"/>
      <c r="G27" s="243">
        <f t="shared" si="0"/>
        <v>31993.589743589742</v>
      </c>
      <c r="J27" s="281"/>
      <c r="K27" s="281"/>
      <c r="L27" s="281"/>
      <c r="M27" s="281"/>
      <c r="N27" s="281"/>
      <c r="O27" s="281"/>
      <c r="P27" s="281"/>
      <c r="Q27" s="281"/>
    </row>
    <row r="28" spans="2:17">
      <c r="B28" s="279"/>
      <c r="C28" s="244" t="s">
        <v>14</v>
      </c>
      <c r="D28" s="245">
        <f t="shared" ref="D28:F28" si="1">SUM(D6:D27)</f>
        <v>255623.44221611726</v>
      </c>
      <c r="E28" s="249">
        <f t="shared" si="1"/>
        <v>223577.35970695972</v>
      </c>
      <c r="F28" s="250">
        <f t="shared" si="1"/>
        <v>192377.59706959708</v>
      </c>
      <c r="G28" s="243">
        <f>SUM(D28:F28)</f>
        <v>671578.39899267408</v>
      </c>
    </row>
    <row r="29" spans="2:17">
      <c r="B29" s="254"/>
      <c r="C29" s="223" t="s">
        <v>352</v>
      </c>
      <c r="D29" s="255">
        <f>D28+$K21</f>
        <v>266111.44221611728</v>
      </c>
      <c r="E29" s="255">
        <f t="shared" ref="E29:F29" si="2">E28+$K21</f>
        <v>234065.35970695972</v>
      </c>
      <c r="F29" s="255">
        <f t="shared" si="2"/>
        <v>202865.59706959708</v>
      </c>
      <c r="G29" s="255">
        <f>SUM(D29:F29)</f>
        <v>703042.39899267408</v>
      </c>
    </row>
    <row r="31" spans="2:17">
      <c r="C31" s="280" t="s">
        <v>342</v>
      </c>
      <c r="D31" s="175" t="s">
        <v>343</v>
      </c>
    </row>
    <row r="32" spans="2:17">
      <c r="C32" s="280"/>
      <c r="D32" s="175" t="s">
        <v>344</v>
      </c>
    </row>
    <row r="33" spans="3:7">
      <c r="C33" s="280"/>
      <c r="D33" s="175" t="s">
        <v>345</v>
      </c>
    </row>
    <row r="34" spans="3:7">
      <c r="C34" s="280"/>
      <c r="D34" s="175" t="s">
        <v>211</v>
      </c>
    </row>
    <row r="35" spans="3:7">
      <c r="C35" s="280"/>
      <c r="D35" s="175"/>
    </row>
    <row r="36" spans="3:7">
      <c r="C36" s="175" t="s">
        <v>346</v>
      </c>
      <c r="D36" s="175">
        <v>4</v>
      </c>
    </row>
    <row r="38" spans="3:7">
      <c r="C38" s="251" t="s">
        <v>347</v>
      </c>
      <c r="D38" s="281" t="s">
        <v>348</v>
      </c>
      <c r="E38" s="281"/>
      <c r="F38" s="281"/>
      <c r="G38" s="281"/>
    </row>
    <row r="39" spans="3:7">
      <c r="D39" s="252"/>
    </row>
    <row r="40" spans="3:7">
      <c r="D40" s="252"/>
    </row>
    <row r="41" spans="3:7">
      <c r="D41" s="252"/>
    </row>
    <row r="42" spans="3:7">
      <c r="D42" s="252"/>
    </row>
    <row r="43" spans="3:7">
      <c r="D43" s="252"/>
    </row>
  </sheetData>
  <mergeCells count="11">
    <mergeCell ref="B6:B28"/>
    <mergeCell ref="C31:C35"/>
    <mergeCell ref="D38:G38"/>
    <mergeCell ref="J15:L15"/>
    <mergeCell ref="J22:Q27"/>
    <mergeCell ref="G4:G5"/>
    <mergeCell ref="B4:B5"/>
    <mergeCell ref="C4:C5"/>
    <mergeCell ref="D4:D5"/>
    <mergeCell ref="E4:E5"/>
    <mergeCell ref="F4:F5"/>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9"/>
  <sheetViews>
    <sheetView topLeftCell="A11" workbookViewId="0">
      <selection activeCell="F27" sqref="F27"/>
    </sheetView>
  </sheetViews>
  <sheetFormatPr baseColWidth="10" defaultColWidth="8.83203125" defaultRowHeight="14" x14ac:dyDescent="0"/>
  <cols>
    <col min="3" max="3" width="50" customWidth="1"/>
    <col min="6" max="6" width="10.5" customWidth="1"/>
    <col min="8" max="8" width="9.33203125" customWidth="1"/>
    <col min="9" max="9" width="51.5" customWidth="1"/>
    <col min="10" max="10" width="2.6640625" customWidth="1"/>
    <col min="11" max="11" width="2.83203125" customWidth="1"/>
    <col min="12" max="12" width="44.5" customWidth="1"/>
    <col min="16" max="16" width="111" customWidth="1"/>
  </cols>
  <sheetData>
    <row r="1" spans="1:16">
      <c r="A1" s="32" t="s">
        <v>123</v>
      </c>
      <c r="B1" s="32"/>
      <c r="C1" s="74"/>
      <c r="D1" s="74"/>
      <c r="E1" s="74"/>
      <c r="F1" s="91"/>
      <c r="G1" s="91"/>
      <c r="H1" s="91"/>
      <c r="I1" s="74"/>
    </row>
    <row r="2" spans="1:16">
      <c r="A2" s="73"/>
      <c r="B2" s="32"/>
      <c r="C2" s="74"/>
      <c r="D2" s="74"/>
      <c r="E2" s="74"/>
      <c r="F2" s="91"/>
      <c r="G2" s="91"/>
      <c r="H2" s="91"/>
      <c r="I2" s="74"/>
      <c r="L2" t="s">
        <v>218</v>
      </c>
    </row>
    <row r="3" spans="1:16">
      <c r="A3" s="73" t="s">
        <v>124</v>
      </c>
      <c r="B3" s="20"/>
      <c r="C3" s="50"/>
      <c r="D3" s="50"/>
      <c r="E3" s="20"/>
      <c r="F3" s="56"/>
      <c r="G3" s="56"/>
      <c r="H3" s="56"/>
      <c r="I3" s="20"/>
      <c r="L3" s="32" t="s">
        <v>206</v>
      </c>
      <c r="M3" s="20"/>
      <c r="N3" s="20"/>
      <c r="O3" s="20"/>
      <c r="P3" s="23"/>
    </row>
    <row r="4" spans="1:16">
      <c r="A4" s="293" t="s">
        <v>83</v>
      </c>
      <c r="B4" s="294"/>
      <c r="C4" s="64" t="s">
        <v>84</v>
      </c>
      <c r="D4" s="65">
        <v>2017</v>
      </c>
      <c r="E4" s="65">
        <v>2018</v>
      </c>
      <c r="F4" s="81">
        <v>2019</v>
      </c>
      <c r="G4" s="81">
        <v>2020</v>
      </c>
      <c r="H4" s="81">
        <v>2021</v>
      </c>
      <c r="I4" s="64" t="s">
        <v>85</v>
      </c>
      <c r="L4" s="177" t="s">
        <v>207</v>
      </c>
      <c r="M4" s="284" t="s">
        <v>208</v>
      </c>
      <c r="N4" s="285"/>
      <c r="O4" s="286"/>
      <c r="P4" s="178" t="s">
        <v>209</v>
      </c>
    </row>
    <row r="5" spans="1:16" ht="27" customHeight="1">
      <c r="A5" s="296" t="s">
        <v>86</v>
      </c>
      <c r="B5" s="297"/>
      <c r="C5" s="66" t="s">
        <v>165</v>
      </c>
      <c r="D5" s="67">
        <v>117862.40525739323</v>
      </c>
      <c r="E5" s="67">
        <v>103675.79408543264</v>
      </c>
      <c r="F5" s="82">
        <v>100000</v>
      </c>
      <c r="G5" s="82">
        <v>98000</v>
      </c>
      <c r="H5" s="82">
        <v>95000</v>
      </c>
      <c r="I5" s="68"/>
      <c r="L5" s="179"/>
      <c r="M5" s="180">
        <v>2016</v>
      </c>
      <c r="N5" s="180">
        <v>2017</v>
      </c>
      <c r="O5" s="180">
        <v>2018</v>
      </c>
      <c r="P5" s="181"/>
    </row>
    <row r="6" spans="1:16" ht="25">
      <c r="A6" s="298"/>
      <c r="B6" s="299"/>
      <c r="C6" s="66" t="s">
        <v>166</v>
      </c>
      <c r="D6" s="67">
        <v>26286.966046002195</v>
      </c>
      <c r="E6" s="67">
        <v>29572.836801752466</v>
      </c>
      <c r="F6" s="82">
        <v>28000</v>
      </c>
      <c r="G6" s="82">
        <v>26500</v>
      </c>
      <c r="H6" s="82">
        <v>29500</v>
      </c>
      <c r="I6" s="67"/>
      <c r="L6" s="41" t="s">
        <v>210</v>
      </c>
      <c r="M6" s="182">
        <v>278554</v>
      </c>
      <c r="N6" s="182">
        <v>144315</v>
      </c>
      <c r="O6" s="182">
        <v>207815</v>
      </c>
      <c r="P6" s="183"/>
    </row>
    <row r="7" spans="1:16" ht="72">
      <c r="A7" s="298"/>
      <c r="B7" s="299"/>
      <c r="C7" s="69" t="s">
        <v>87</v>
      </c>
      <c r="D7" s="67">
        <v>56078.860898138017</v>
      </c>
      <c r="E7" s="67"/>
      <c r="F7" s="82"/>
      <c r="G7" s="82"/>
      <c r="H7" s="82"/>
      <c r="I7" s="67"/>
      <c r="L7" s="41" t="s">
        <v>211</v>
      </c>
      <c r="M7" s="182">
        <v>266107</v>
      </c>
      <c r="N7" s="182">
        <v>334409</v>
      </c>
      <c r="O7" s="184">
        <v>340450</v>
      </c>
      <c r="P7" s="183" t="s">
        <v>212</v>
      </c>
    </row>
    <row r="8" spans="1:16">
      <c r="A8" s="298"/>
      <c r="B8" s="299"/>
      <c r="C8" s="69" t="s">
        <v>167</v>
      </c>
      <c r="D8" s="67">
        <v>788.60898138006576</v>
      </c>
      <c r="E8" s="67">
        <v>788.60898138006576</v>
      </c>
      <c r="F8" s="82">
        <v>500</v>
      </c>
      <c r="G8" s="82">
        <v>500</v>
      </c>
      <c r="H8" s="82">
        <v>500</v>
      </c>
      <c r="I8" s="67"/>
      <c r="L8" s="1"/>
      <c r="M8" s="185"/>
      <c r="N8" s="185"/>
      <c r="O8" s="185"/>
      <c r="P8" s="3"/>
    </row>
    <row r="9" spans="1:16" ht="25">
      <c r="A9" s="298"/>
      <c r="B9" s="299"/>
      <c r="C9" s="69" t="s">
        <v>168</v>
      </c>
      <c r="D9" s="67">
        <v>29967.141292442506</v>
      </c>
      <c r="E9" s="67">
        <v>28337.600000000002</v>
      </c>
      <c r="F9" s="82">
        <v>28337.600000000002</v>
      </c>
      <c r="G9" s="82">
        <v>28000</v>
      </c>
      <c r="H9" s="82">
        <v>27500</v>
      </c>
      <c r="I9" s="67"/>
      <c r="L9" s="186" t="s">
        <v>213</v>
      </c>
      <c r="M9" s="187">
        <v>1819838</v>
      </c>
      <c r="N9" s="188">
        <v>1864424</v>
      </c>
      <c r="O9" s="188">
        <v>1910102</v>
      </c>
      <c r="P9" s="189"/>
    </row>
    <row r="10" spans="1:16" ht="25" customHeight="1">
      <c r="A10" s="298"/>
      <c r="B10" s="299"/>
      <c r="C10" s="77" t="s">
        <v>169</v>
      </c>
      <c r="D10" s="78">
        <v>5159</v>
      </c>
      <c r="E10" s="78"/>
      <c r="F10" s="83">
        <v>5500</v>
      </c>
      <c r="G10" s="83"/>
      <c r="H10" s="83"/>
      <c r="I10" s="78"/>
      <c r="L10" s="190"/>
      <c r="M10" s="191"/>
      <c r="N10" s="192"/>
      <c r="O10" s="192"/>
      <c r="P10" s="193"/>
    </row>
    <row r="11" spans="1:16" ht="59" customHeight="1">
      <c r="A11" s="298"/>
      <c r="B11" s="299"/>
      <c r="C11" s="69" t="s">
        <v>170</v>
      </c>
      <c r="D11" s="67">
        <v>31807.22891566265</v>
      </c>
      <c r="E11" s="67">
        <v>30361.600000000002</v>
      </c>
      <c r="F11" s="82">
        <v>30361.600000000002</v>
      </c>
      <c r="G11" s="82">
        <v>30000</v>
      </c>
      <c r="H11" s="82">
        <v>27000</v>
      </c>
      <c r="I11" s="67"/>
      <c r="L11" s="194" t="s">
        <v>70</v>
      </c>
      <c r="M11" s="287" t="s">
        <v>214</v>
      </c>
      <c r="N11" s="288"/>
      <c r="O11" s="289"/>
    </row>
    <row r="12" spans="1:16" ht="27" customHeight="1">
      <c r="A12" s="298"/>
      <c r="B12" s="299"/>
      <c r="C12" s="69" t="s">
        <v>171</v>
      </c>
      <c r="D12" s="67">
        <v>3242.0591456736033</v>
      </c>
      <c r="E12" s="67">
        <v>2628.6966046002194</v>
      </c>
      <c r="F12" s="82">
        <v>3000</v>
      </c>
      <c r="G12" s="82">
        <v>3000</v>
      </c>
      <c r="H12" s="82">
        <v>3000</v>
      </c>
      <c r="I12" s="67"/>
      <c r="L12" s="195"/>
      <c r="M12" s="196">
        <v>2016</v>
      </c>
      <c r="N12" s="196">
        <v>2017</v>
      </c>
      <c r="O12" s="196">
        <v>2018</v>
      </c>
    </row>
    <row r="13" spans="1:16">
      <c r="A13" s="298"/>
      <c r="B13" s="299"/>
      <c r="C13" s="77" t="s">
        <v>172</v>
      </c>
      <c r="D13" s="78">
        <v>10000</v>
      </c>
      <c r="E13" s="78">
        <v>1752.464403066813</v>
      </c>
      <c r="F13" s="83"/>
      <c r="G13" s="83">
        <v>3000</v>
      </c>
      <c r="H13" s="83"/>
      <c r="I13" s="78"/>
      <c r="L13" s="197" t="s">
        <v>215</v>
      </c>
      <c r="M13" s="198">
        <v>191924</v>
      </c>
      <c r="N13" s="198">
        <v>195859</v>
      </c>
      <c r="O13" s="198">
        <v>199874</v>
      </c>
    </row>
    <row r="14" spans="1:16">
      <c r="A14" s="298"/>
      <c r="B14" s="299"/>
      <c r="C14" s="70" t="s">
        <v>88</v>
      </c>
      <c r="D14" s="67">
        <v>23658.269441401975</v>
      </c>
      <c r="E14" s="67">
        <v>1752.464403066813</v>
      </c>
      <c r="F14" s="82">
        <v>23658.269441401975</v>
      </c>
      <c r="G14" s="82"/>
      <c r="H14" s="82">
        <v>16500</v>
      </c>
      <c r="I14" s="67" t="s">
        <v>119</v>
      </c>
      <c r="L14" s="197" t="s">
        <v>216</v>
      </c>
      <c r="M14" s="198">
        <v>64440</v>
      </c>
      <c r="N14" s="198">
        <v>65761</v>
      </c>
      <c r="O14" s="198">
        <v>67109</v>
      </c>
    </row>
    <row r="15" spans="1:16">
      <c r="A15" s="298"/>
      <c r="B15" s="299"/>
      <c r="C15" s="70" t="s">
        <v>173</v>
      </c>
      <c r="D15" s="67">
        <v>9638.554216867471</v>
      </c>
      <c r="E15" s="67">
        <v>9638.554216867471</v>
      </c>
      <c r="F15" s="82">
        <v>7500</v>
      </c>
      <c r="G15" s="82">
        <v>7500</v>
      </c>
      <c r="H15" s="82">
        <v>6500</v>
      </c>
      <c r="I15" s="67"/>
      <c r="L15" s="197" t="s">
        <v>217</v>
      </c>
      <c r="M15" s="198">
        <v>99280</v>
      </c>
      <c r="N15" s="198">
        <v>101316</v>
      </c>
      <c r="O15" s="198">
        <v>103392</v>
      </c>
    </row>
    <row r="16" spans="1:16">
      <c r="A16" s="298"/>
      <c r="B16" s="299"/>
      <c r="C16" s="70" t="s">
        <v>174</v>
      </c>
      <c r="D16" s="67">
        <v>7710.8433734939754</v>
      </c>
      <c r="E16" s="67">
        <v>7710.8433734939754</v>
      </c>
      <c r="F16" s="82">
        <v>7000</v>
      </c>
      <c r="G16" s="82">
        <v>7000</v>
      </c>
      <c r="H16" s="82">
        <v>7000</v>
      </c>
      <c r="I16" s="67"/>
      <c r="L16" s="199" t="s">
        <v>14</v>
      </c>
      <c r="M16" s="200">
        <f>SUM(M13:M15)</f>
        <v>355644</v>
      </c>
      <c r="N16" s="200">
        <f>SUM(N13:N15)</f>
        <v>362936</v>
      </c>
      <c r="O16" s="200">
        <f>SUM(O13:O15)</f>
        <v>370375</v>
      </c>
    </row>
    <row r="17" spans="1:15">
      <c r="A17" s="298"/>
      <c r="B17" s="299"/>
      <c r="C17" s="70" t="s">
        <v>175</v>
      </c>
      <c r="D17" s="67">
        <v>5783.1325301204824</v>
      </c>
      <c r="E17" s="67">
        <v>5783.1325301204824</v>
      </c>
      <c r="F17" s="82">
        <v>5783.1325301204824</v>
      </c>
      <c r="G17" s="82">
        <v>5783</v>
      </c>
      <c r="H17" s="82">
        <v>5783</v>
      </c>
      <c r="I17" s="67"/>
      <c r="L17" s="201"/>
      <c r="M17" s="201"/>
      <c r="N17" s="201"/>
      <c r="O17" s="201"/>
    </row>
    <row r="18" spans="1:15">
      <c r="A18" s="298"/>
      <c r="B18" s="299"/>
      <c r="C18" s="71" t="s">
        <v>176</v>
      </c>
      <c r="D18" s="72">
        <v>19907.995618838992</v>
      </c>
      <c r="E18" s="72">
        <v>18243.15443592552</v>
      </c>
      <c r="F18" s="84">
        <v>19907.995618838992</v>
      </c>
      <c r="G18" s="84">
        <v>20500</v>
      </c>
      <c r="H18" s="84">
        <v>18500</v>
      </c>
      <c r="I18" s="72"/>
    </row>
    <row r="19" spans="1:15">
      <c r="A19" s="298"/>
      <c r="B19" s="299"/>
      <c r="C19" s="70" t="s">
        <v>89</v>
      </c>
      <c r="D19" s="67">
        <v>21029.572836801755</v>
      </c>
      <c r="E19" s="67">
        <v>19277.108433734942</v>
      </c>
      <c r="F19" s="82">
        <v>16372</v>
      </c>
      <c r="G19" s="82">
        <v>16372</v>
      </c>
      <c r="H19" s="82">
        <v>16372</v>
      </c>
      <c r="I19" s="67"/>
    </row>
    <row r="20" spans="1:15">
      <c r="A20" s="298"/>
      <c r="B20" s="299"/>
      <c r="C20" s="85" t="s">
        <v>177</v>
      </c>
      <c r="D20" s="67">
        <v>29998.991652981142</v>
      </c>
      <c r="E20" s="67">
        <v>8510.0491245408557</v>
      </c>
      <c r="F20" s="82">
        <v>8500</v>
      </c>
      <c r="G20" s="82">
        <v>8500</v>
      </c>
      <c r="H20" s="82">
        <v>9500</v>
      </c>
      <c r="I20" s="67"/>
    </row>
    <row r="21" spans="1:15">
      <c r="A21" s="298"/>
      <c r="B21" s="299"/>
      <c r="C21" s="86" t="s">
        <v>179</v>
      </c>
      <c r="D21" s="67">
        <v>24000</v>
      </c>
      <c r="E21" s="67">
        <v>16000</v>
      </c>
      <c r="F21" s="82">
        <v>12000</v>
      </c>
      <c r="G21" s="82">
        <v>12000</v>
      </c>
      <c r="H21" s="82">
        <v>12000</v>
      </c>
      <c r="I21" s="295" t="s">
        <v>181</v>
      </c>
    </row>
    <row r="22" spans="1:15" ht="25">
      <c r="A22" s="298"/>
      <c r="B22" s="299"/>
      <c r="C22" s="86" t="s">
        <v>178</v>
      </c>
      <c r="D22" s="67">
        <v>25000</v>
      </c>
      <c r="E22" s="67"/>
      <c r="F22" s="82"/>
      <c r="G22" s="82"/>
      <c r="H22" s="82"/>
      <c r="I22" s="295"/>
    </row>
    <row r="23" spans="1:15" ht="49">
      <c r="A23" s="298"/>
      <c r="B23" s="299"/>
      <c r="C23" s="80" t="s">
        <v>120</v>
      </c>
      <c r="D23" s="124">
        <v>36160.281636677268</v>
      </c>
      <c r="E23" s="124">
        <v>30120.327120463171</v>
      </c>
      <c r="F23" s="124">
        <v>31626.34347648633</v>
      </c>
      <c r="G23" s="124">
        <v>33207.660650310645</v>
      </c>
      <c r="H23" s="124">
        <v>34868.043682826174</v>
      </c>
      <c r="I23" s="142" t="s">
        <v>121</v>
      </c>
      <c r="J23" s="92"/>
    </row>
    <row r="24" spans="1:15" ht="120">
      <c r="A24" s="300" t="s">
        <v>154</v>
      </c>
      <c r="B24" s="301"/>
      <c r="C24" s="143" t="s">
        <v>153</v>
      </c>
      <c r="D24" s="75">
        <v>41839.32</v>
      </c>
      <c r="E24" s="75">
        <v>43513.57</v>
      </c>
      <c r="F24" s="88">
        <v>51000</v>
      </c>
      <c r="G24" s="88">
        <v>52216.284</v>
      </c>
      <c r="H24" s="88">
        <v>57437.912400000001</v>
      </c>
      <c r="I24" s="76"/>
    </row>
    <row r="25" spans="1:15" ht="24">
      <c r="A25" s="302" t="s">
        <v>180</v>
      </c>
      <c r="B25" s="303"/>
      <c r="C25" s="90"/>
      <c r="D25" s="90"/>
      <c r="E25" s="90"/>
      <c r="F25" s="88">
        <v>20000</v>
      </c>
      <c r="G25" s="63"/>
      <c r="H25" s="63"/>
      <c r="I25" s="7" t="s">
        <v>182</v>
      </c>
    </row>
    <row r="26" spans="1:15" s="92" customFormat="1">
      <c r="A26" s="291" t="s">
        <v>129</v>
      </c>
      <c r="B26" s="292"/>
      <c r="C26" s="63"/>
      <c r="D26" s="144">
        <v>8892</v>
      </c>
      <c r="E26" s="144">
        <f>D26*1.05</f>
        <v>9336.6</v>
      </c>
      <c r="F26" s="144">
        <f t="shared" ref="F26:H26" si="0">E26*1.05</f>
        <v>9803.43</v>
      </c>
      <c r="G26" s="144">
        <f t="shared" si="0"/>
        <v>10293.601500000001</v>
      </c>
      <c r="H26" s="144">
        <f t="shared" si="0"/>
        <v>10808.281575000001</v>
      </c>
      <c r="I26" s="119"/>
    </row>
    <row r="27" spans="1:15">
      <c r="A27" s="290" t="s">
        <v>14</v>
      </c>
      <c r="B27" s="290"/>
      <c r="C27" s="90"/>
      <c r="D27" s="103">
        <f>SUM(D5:D26)</f>
        <v>534811.23184387537</v>
      </c>
      <c r="E27" s="103">
        <f t="shared" ref="E27:H27" si="1">SUM(E5:E26)</f>
        <v>367003.40451444546</v>
      </c>
      <c r="F27" s="103">
        <f t="shared" si="1"/>
        <v>408850.37106684782</v>
      </c>
      <c r="G27" s="103">
        <f t="shared" si="1"/>
        <v>362372.54615031061</v>
      </c>
      <c r="H27" s="103">
        <f t="shared" si="1"/>
        <v>377769.23765782616</v>
      </c>
      <c r="I27" s="104">
        <f>SUM(D27:H27)</f>
        <v>2050806.7912333054</v>
      </c>
    </row>
    <row r="28" spans="1:15">
      <c r="A28" s="20"/>
      <c r="B28" s="20"/>
      <c r="C28" s="20"/>
      <c r="D28" s="20"/>
      <c r="E28" s="20"/>
      <c r="F28" s="56"/>
      <c r="G28" s="56"/>
      <c r="H28" s="56"/>
      <c r="I28" s="20"/>
    </row>
    <row r="29" spans="1:15">
      <c r="A29" s="20" t="s">
        <v>122</v>
      </c>
      <c r="B29" s="20"/>
      <c r="C29" s="20"/>
      <c r="D29" s="20"/>
      <c r="E29" s="20"/>
      <c r="F29" s="56"/>
      <c r="G29" s="56"/>
      <c r="H29" s="56"/>
      <c r="I29" s="20"/>
    </row>
  </sheetData>
  <mergeCells count="9">
    <mergeCell ref="M4:O4"/>
    <mergeCell ref="M11:O11"/>
    <mergeCell ref="A27:B27"/>
    <mergeCell ref="A26:B26"/>
    <mergeCell ref="A4:B4"/>
    <mergeCell ref="I21:I22"/>
    <mergeCell ref="A5:B23"/>
    <mergeCell ref="A24:B24"/>
    <mergeCell ref="A25:B25"/>
  </mergeCells>
  <pageMargins left="0.7" right="0.7" top="0.75" bottom="0.75" header="0.3" footer="0.3"/>
  <pageSetup paperSize="9" scale="6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Q22"/>
  <sheetViews>
    <sheetView topLeftCell="A3" workbookViewId="0">
      <selection activeCell="N18" sqref="N18"/>
    </sheetView>
  </sheetViews>
  <sheetFormatPr baseColWidth="10" defaultColWidth="11.5" defaultRowHeight="12" x14ac:dyDescent="0"/>
  <cols>
    <col min="1" max="1" width="12" style="1" customWidth="1"/>
    <col min="2" max="2" width="16.33203125" style="1" customWidth="1"/>
    <col min="3" max="3" width="11.83203125" style="1" customWidth="1"/>
    <col min="4" max="4" width="13.33203125" style="1" customWidth="1"/>
    <col min="5" max="5" width="12.6640625" style="1" customWidth="1"/>
    <col min="6" max="6" width="11.83203125" style="1" customWidth="1"/>
    <col min="7" max="7" width="12.83203125" style="1" customWidth="1"/>
    <col min="8" max="8" width="16.5" style="1" customWidth="1"/>
    <col min="9" max="13" width="16.5" style="18" customWidth="1"/>
    <col min="14" max="14" width="57" style="3" customWidth="1"/>
    <col min="15" max="16384" width="11.5" style="1"/>
  </cols>
  <sheetData>
    <row r="1" spans="1:17">
      <c r="A1" s="27" t="s">
        <v>189</v>
      </c>
      <c r="B1" s="25"/>
      <c r="C1" s="25"/>
      <c r="D1" s="25"/>
      <c r="E1" s="25"/>
      <c r="F1" s="25"/>
      <c r="G1" s="25"/>
      <c r="H1" s="25"/>
      <c r="I1" s="145"/>
      <c r="J1" s="145"/>
      <c r="K1" s="145"/>
      <c r="L1" s="145"/>
      <c r="M1" s="145"/>
      <c r="N1" s="26"/>
      <c r="O1" s="25"/>
    </row>
    <row r="2" spans="1:17">
      <c r="A2" s="27"/>
      <c r="B2" s="25"/>
      <c r="C2" s="25"/>
      <c r="D2" s="25"/>
      <c r="E2" s="25"/>
      <c r="F2" s="25"/>
      <c r="G2" s="25"/>
      <c r="H2" s="25"/>
      <c r="I2" s="145"/>
      <c r="J2" s="145"/>
      <c r="K2" s="145"/>
      <c r="L2" s="145"/>
      <c r="M2" s="145"/>
      <c r="N2" s="26"/>
      <c r="O2" s="25"/>
    </row>
    <row r="3" spans="1:17" ht="93.75" customHeight="1">
      <c r="A3" s="304" t="s">
        <v>183</v>
      </c>
      <c r="B3" s="304"/>
      <c r="C3" s="304"/>
      <c r="D3" s="304"/>
      <c r="E3" s="304"/>
      <c r="F3" s="25"/>
      <c r="G3" s="25"/>
      <c r="H3" s="25"/>
      <c r="I3" s="145"/>
      <c r="J3" s="145"/>
      <c r="K3" s="145"/>
      <c r="L3" s="145"/>
      <c r="M3" s="145"/>
      <c r="N3" s="26"/>
      <c r="O3" s="25"/>
    </row>
    <row r="4" spans="1:17">
      <c r="A4" s="25"/>
      <c r="B4" s="25"/>
      <c r="C4" s="25"/>
      <c r="D4" s="25"/>
      <c r="E4" s="25"/>
      <c r="F4" s="25"/>
      <c r="G4" s="25"/>
      <c r="H4" s="25"/>
      <c r="I4" s="145"/>
      <c r="J4" s="145"/>
      <c r="K4" s="145"/>
      <c r="L4" s="145"/>
      <c r="M4" s="145"/>
      <c r="N4" s="26"/>
      <c r="O4" s="25"/>
    </row>
    <row r="5" spans="1:17" ht="48">
      <c r="A5" s="28" t="s">
        <v>4</v>
      </c>
      <c r="B5" s="28" t="s">
        <v>5</v>
      </c>
      <c r="C5" s="28" t="s">
        <v>6</v>
      </c>
      <c r="D5" s="28" t="s">
        <v>50</v>
      </c>
      <c r="E5" s="28" t="s">
        <v>51</v>
      </c>
      <c r="F5" s="28" t="s">
        <v>52</v>
      </c>
      <c r="G5" s="28" t="s">
        <v>53</v>
      </c>
      <c r="H5" s="28" t="s">
        <v>130</v>
      </c>
      <c r="I5" s="146" t="s">
        <v>131</v>
      </c>
      <c r="J5" s="146" t="s">
        <v>132</v>
      </c>
      <c r="K5" s="146" t="s">
        <v>133</v>
      </c>
      <c r="L5" s="146" t="s">
        <v>134</v>
      </c>
      <c r="M5" s="146" t="s">
        <v>135</v>
      </c>
      <c r="N5" s="28" t="s">
        <v>7</v>
      </c>
      <c r="O5" s="25"/>
      <c r="P5" s="3" t="s">
        <v>286</v>
      </c>
      <c r="Q5" s="1" t="s">
        <v>287</v>
      </c>
    </row>
    <row r="6" spans="1:17" s="113" customFormat="1" ht="48">
      <c r="A6" s="109" t="s">
        <v>8</v>
      </c>
      <c r="B6" s="109" t="s">
        <v>9</v>
      </c>
      <c r="C6" s="110">
        <v>1471705</v>
      </c>
      <c r="D6" s="110">
        <v>407523</v>
      </c>
      <c r="E6" s="110">
        <v>437145</v>
      </c>
      <c r="F6" s="110">
        <v>0</v>
      </c>
      <c r="G6" s="110">
        <v>0</v>
      </c>
      <c r="H6" s="111">
        <v>90463.897599557517</v>
      </c>
      <c r="I6" s="147"/>
      <c r="J6" s="147"/>
      <c r="K6" s="147"/>
      <c r="L6" s="147"/>
      <c r="M6" s="147"/>
      <c r="N6" s="109" t="s">
        <v>99</v>
      </c>
      <c r="O6" s="112"/>
      <c r="P6" s="233">
        <f>H6+10000</f>
        <v>100463.89759955752</v>
      </c>
    </row>
    <row r="7" spans="1:17" ht="60">
      <c r="A7" s="29" t="s">
        <v>10</v>
      </c>
      <c r="B7" s="29" t="s">
        <v>11</v>
      </c>
      <c r="C7" s="30">
        <v>2324991</v>
      </c>
      <c r="D7" s="30">
        <v>261481</v>
      </c>
      <c r="E7" s="30">
        <v>53101</v>
      </c>
      <c r="F7" s="30">
        <v>0</v>
      </c>
      <c r="G7" s="30">
        <v>0</v>
      </c>
      <c r="H7" s="31">
        <v>54511</v>
      </c>
      <c r="I7" s="147">
        <v>59962</v>
      </c>
      <c r="J7" s="147">
        <v>65958</v>
      </c>
      <c r="K7" s="147">
        <v>72554</v>
      </c>
      <c r="L7" s="147">
        <v>79810</v>
      </c>
      <c r="M7" s="148">
        <f>SUM(H7:L7)</f>
        <v>332795</v>
      </c>
      <c r="N7" s="150" t="s">
        <v>185</v>
      </c>
      <c r="O7" s="25"/>
      <c r="P7" s="233"/>
    </row>
    <row r="8" spans="1:17" s="113" customFormat="1" ht="24">
      <c r="A8" s="114" t="s">
        <v>10</v>
      </c>
      <c r="B8" s="114" t="s">
        <v>12</v>
      </c>
      <c r="C8" s="110">
        <v>2906401</v>
      </c>
      <c r="D8" s="110">
        <v>478554</v>
      </c>
      <c r="E8" s="110">
        <v>190747</v>
      </c>
      <c r="F8" s="110">
        <v>1383291</v>
      </c>
      <c r="G8" s="110">
        <v>2078941</v>
      </c>
      <c r="H8" s="111">
        <v>271303.36473875167</v>
      </c>
      <c r="I8" s="147"/>
      <c r="J8" s="147"/>
      <c r="K8" s="147"/>
      <c r="L8" s="147"/>
      <c r="M8" s="147"/>
      <c r="N8" s="109" t="s">
        <v>100</v>
      </c>
      <c r="O8" s="112"/>
      <c r="P8" s="233">
        <f t="shared" ref="P8:P9" si="0">H8+10000</f>
        <v>281303.36473875167</v>
      </c>
    </row>
    <row r="9" spans="1:17" s="113" customFormat="1" ht="24">
      <c r="A9" s="114" t="s">
        <v>10</v>
      </c>
      <c r="B9" s="114" t="s">
        <v>13</v>
      </c>
      <c r="C9" s="110">
        <v>2651376</v>
      </c>
      <c r="D9" s="110">
        <v>371215</v>
      </c>
      <c r="E9" s="110">
        <v>279995</v>
      </c>
      <c r="F9" s="110">
        <v>1098681</v>
      </c>
      <c r="G9" s="110">
        <v>1990722</v>
      </c>
      <c r="H9" s="111">
        <v>484588.35899763391</v>
      </c>
      <c r="I9" s="147"/>
      <c r="J9" s="147"/>
      <c r="K9" s="147"/>
      <c r="L9" s="147"/>
      <c r="M9" s="147"/>
      <c r="N9" s="109" t="s">
        <v>101</v>
      </c>
      <c r="O9" s="112"/>
      <c r="P9" s="233">
        <f t="shared" si="0"/>
        <v>494588.35899763391</v>
      </c>
    </row>
    <row r="10" spans="1:17" s="113" customFormat="1" ht="45.75" customHeight="1">
      <c r="A10" s="109" t="s">
        <v>151</v>
      </c>
      <c r="B10" s="114"/>
      <c r="C10" s="110"/>
      <c r="D10" s="110"/>
      <c r="E10" s="110"/>
      <c r="F10" s="110"/>
      <c r="G10" s="110"/>
      <c r="H10" s="111"/>
      <c r="I10" s="147"/>
      <c r="J10" s="147"/>
      <c r="K10" s="147"/>
      <c r="L10" s="147"/>
      <c r="M10" s="147"/>
      <c r="N10" s="109" t="s">
        <v>184</v>
      </c>
      <c r="O10" s="112"/>
      <c r="P10" s="233">
        <f>0.15*SUM(P6:P9,H7)</f>
        <v>139629.99320039147</v>
      </c>
      <c r="Q10" s="113" t="s">
        <v>307</v>
      </c>
    </row>
    <row r="11" spans="1:17" s="113" customFormat="1" ht="36">
      <c r="A11" s="115" t="s">
        <v>14</v>
      </c>
      <c r="B11" s="115"/>
      <c r="C11" s="116">
        <f>SUM(C6:C9)</f>
        <v>9354473</v>
      </c>
      <c r="D11" s="116">
        <f t="shared" ref="D11:G11" si="1">SUM(D6:D9)</f>
        <v>1518773</v>
      </c>
      <c r="E11" s="116">
        <f t="shared" si="1"/>
        <v>960988</v>
      </c>
      <c r="F11" s="116">
        <f t="shared" si="1"/>
        <v>2481972</v>
      </c>
      <c r="G11" s="116">
        <f t="shared" si="1"/>
        <v>4069663</v>
      </c>
      <c r="H11" s="117">
        <v>890866.51371917152</v>
      </c>
      <c r="I11" s="148"/>
      <c r="J11" s="148"/>
      <c r="K11" s="148"/>
      <c r="L11" s="148"/>
      <c r="M11" s="148"/>
      <c r="N11" s="118" t="s">
        <v>54</v>
      </c>
      <c r="O11" s="112"/>
      <c r="P11" s="233"/>
    </row>
    <row r="12" spans="1:17" s="113" customFormat="1">
      <c r="A12" s="134"/>
      <c r="B12" s="134"/>
      <c r="C12" s="135"/>
      <c r="D12" s="135"/>
      <c r="E12" s="135"/>
      <c r="F12" s="135"/>
      <c r="G12" s="135"/>
      <c r="H12" s="136"/>
      <c r="I12" s="149"/>
      <c r="J12" s="149"/>
      <c r="K12" s="149"/>
      <c r="L12" s="149"/>
      <c r="M12" s="149"/>
      <c r="N12" s="137"/>
      <c r="O12" s="112"/>
    </row>
    <row r="13" spans="1:17">
      <c r="A13" s="25"/>
      <c r="B13" s="25"/>
      <c r="C13" s="25"/>
      <c r="D13" s="25"/>
      <c r="E13" s="25"/>
      <c r="F13" s="25"/>
      <c r="G13" s="25"/>
      <c r="H13" s="25"/>
      <c r="I13" s="145"/>
      <c r="J13" s="145"/>
      <c r="K13" s="145"/>
      <c r="L13" s="145"/>
      <c r="M13" s="145"/>
      <c r="N13" s="26"/>
      <c r="O13" s="25"/>
    </row>
    <row r="14" spans="1:17">
      <c r="A14" s="27" t="s">
        <v>49</v>
      </c>
      <c r="B14" s="25"/>
      <c r="C14" s="25"/>
      <c r="D14" s="25"/>
      <c r="E14" s="25"/>
      <c r="F14" s="25"/>
      <c r="G14" s="25"/>
      <c r="H14" s="25"/>
      <c r="I14" s="145"/>
      <c r="J14" s="145"/>
      <c r="K14" s="145"/>
      <c r="L14" s="145"/>
      <c r="M14" s="145"/>
      <c r="N14" s="26"/>
      <c r="O14" s="25"/>
    </row>
    <row r="15" spans="1:17">
      <c r="A15" s="25" t="s">
        <v>15</v>
      </c>
      <c r="B15" s="25" t="s">
        <v>102</v>
      </c>
      <c r="C15" s="25"/>
      <c r="D15" s="25"/>
      <c r="E15" s="25"/>
      <c r="F15" s="25"/>
      <c r="G15" s="25"/>
      <c r="H15" s="25"/>
      <c r="I15" s="145"/>
      <c r="J15" s="145"/>
      <c r="K15" s="145"/>
      <c r="L15" s="145"/>
      <c r="M15" s="145"/>
      <c r="N15" s="26"/>
      <c r="O15" s="25"/>
    </row>
    <row r="16" spans="1:17">
      <c r="A16" s="25" t="s">
        <v>16</v>
      </c>
      <c r="B16" s="25" t="s">
        <v>103</v>
      </c>
      <c r="C16" s="25"/>
      <c r="D16" s="25"/>
      <c r="E16" s="25"/>
      <c r="F16" s="25"/>
      <c r="G16" s="25"/>
      <c r="H16" s="25"/>
      <c r="I16" s="145"/>
      <c r="J16" s="145"/>
      <c r="K16" s="145"/>
      <c r="L16" s="145"/>
      <c r="M16" s="145"/>
      <c r="N16" s="26"/>
      <c r="O16" s="25"/>
    </row>
    <row r="17" spans="1:15">
      <c r="A17" s="25" t="s">
        <v>98</v>
      </c>
      <c r="B17" s="25" t="s">
        <v>17</v>
      </c>
      <c r="C17" s="25"/>
      <c r="D17" s="25"/>
      <c r="E17" s="25"/>
      <c r="F17" s="25"/>
      <c r="G17" s="25"/>
      <c r="H17" s="25"/>
      <c r="I17" s="145"/>
      <c r="J17" s="145"/>
      <c r="K17" s="145"/>
      <c r="L17" s="145"/>
      <c r="M17" s="145"/>
      <c r="N17" s="26"/>
      <c r="O17" s="25"/>
    </row>
    <row r="18" spans="1:15">
      <c r="A18" s="25"/>
      <c r="B18" s="25"/>
      <c r="C18" s="25"/>
      <c r="D18" s="25"/>
      <c r="E18" s="25"/>
      <c r="F18" s="25"/>
      <c r="G18" s="25"/>
      <c r="H18" s="25"/>
      <c r="I18" s="145"/>
      <c r="J18" s="145"/>
      <c r="K18" s="145"/>
      <c r="L18" s="145"/>
      <c r="M18" s="145"/>
      <c r="N18" s="26"/>
      <c r="O18" s="25"/>
    </row>
    <row r="19" spans="1:15">
      <c r="A19" s="25" t="s">
        <v>18</v>
      </c>
      <c r="B19" s="25"/>
      <c r="C19" s="25"/>
      <c r="D19" s="25"/>
      <c r="E19" s="25"/>
      <c r="F19" s="25"/>
      <c r="G19" s="25"/>
      <c r="H19" s="25"/>
      <c r="I19" s="145"/>
      <c r="J19" s="145"/>
      <c r="K19" s="145"/>
      <c r="L19" s="145"/>
      <c r="M19" s="145"/>
      <c r="N19" s="26"/>
      <c r="O19" s="25"/>
    </row>
    <row r="20" spans="1:15">
      <c r="A20" s="25" t="s">
        <v>55</v>
      </c>
      <c r="B20" s="25"/>
      <c r="C20" s="25"/>
      <c r="D20" s="25"/>
      <c r="E20" s="25"/>
      <c r="F20" s="25"/>
      <c r="G20" s="25"/>
      <c r="H20" s="25"/>
      <c r="I20" s="145"/>
      <c r="J20" s="145"/>
      <c r="K20" s="145"/>
      <c r="L20" s="145"/>
      <c r="M20" s="145"/>
      <c r="N20" s="26"/>
      <c r="O20" s="25"/>
    </row>
    <row r="21" spans="1:15">
      <c r="A21" s="25"/>
      <c r="B21" s="25"/>
      <c r="C21" s="25"/>
      <c r="D21" s="25"/>
      <c r="E21" s="25"/>
      <c r="F21" s="25"/>
      <c r="G21" s="25"/>
      <c r="H21" s="25"/>
      <c r="I21" s="145"/>
      <c r="J21" s="145"/>
      <c r="K21" s="145"/>
      <c r="L21" s="145"/>
      <c r="M21" s="145"/>
      <c r="N21" s="26"/>
      <c r="O21" s="25"/>
    </row>
    <row r="22" spans="1:15">
      <c r="A22" s="25"/>
      <c r="B22" s="25"/>
      <c r="C22" s="25"/>
      <c r="D22" s="25"/>
      <c r="E22" s="25"/>
      <c r="F22" s="25"/>
      <c r="G22" s="25"/>
      <c r="H22" s="25"/>
      <c r="I22" s="145"/>
      <c r="J22" s="145"/>
      <c r="K22" s="145"/>
      <c r="L22" s="145"/>
      <c r="M22" s="145"/>
      <c r="N22" s="26"/>
      <c r="O22" s="25"/>
    </row>
  </sheetData>
  <mergeCells count="1">
    <mergeCell ref="A3:E3"/>
  </mergeCells>
  <pageMargins left="0.7" right="0.7" top="0.75" bottom="0.75" header="0.3" footer="0.3"/>
  <pageSetup paperSize="9" scale="5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O30"/>
  <sheetViews>
    <sheetView zoomScale="80" zoomScaleNormal="80" zoomScalePageLayoutView="80" workbookViewId="0">
      <selection activeCell="N6" sqref="N6"/>
    </sheetView>
  </sheetViews>
  <sheetFormatPr baseColWidth="10" defaultColWidth="8.83203125" defaultRowHeight="12" x14ac:dyDescent="0"/>
  <cols>
    <col min="1" max="2" width="17" style="20" customWidth="1"/>
    <col min="3" max="3" width="15" style="20" customWidth="1"/>
    <col min="4" max="4" width="12.5" style="20" customWidth="1"/>
    <col min="5" max="5" width="13.5" style="20" customWidth="1"/>
    <col min="6" max="6" width="14.5" style="20" customWidth="1"/>
    <col min="7" max="7" width="15.33203125" style="20" customWidth="1"/>
    <col min="8" max="8" width="15.5" style="20" customWidth="1"/>
    <col min="9" max="10" width="14.83203125" style="20" customWidth="1"/>
    <col min="11" max="11" width="17.6640625" style="33" customWidth="1"/>
    <col min="12" max="12" width="64.6640625" style="23" customWidth="1"/>
    <col min="13" max="13" width="8.83203125" style="20"/>
    <col min="14" max="14" width="22.1640625" style="20" customWidth="1"/>
    <col min="15" max="15" width="61.83203125" style="20" customWidth="1"/>
    <col min="16" max="16384" width="8.83203125" style="20"/>
  </cols>
  <sheetData>
    <row r="1" spans="1:15" ht="24" customHeight="1">
      <c r="A1" s="32" t="s">
        <v>104</v>
      </c>
    </row>
    <row r="2" spans="1:15" ht="24" customHeight="1">
      <c r="A2" s="32"/>
    </row>
    <row r="3" spans="1:15" ht="93" customHeight="1">
      <c r="A3" s="306" t="s">
        <v>155</v>
      </c>
      <c r="B3" s="306"/>
      <c r="C3" s="306"/>
      <c r="D3" s="306"/>
      <c r="E3" s="306"/>
    </row>
    <row r="5" spans="1:15" ht="49" customHeight="1">
      <c r="A5" s="21" t="s">
        <v>19</v>
      </c>
      <c r="B5" s="34" t="s">
        <v>26</v>
      </c>
      <c r="C5" s="34" t="s">
        <v>56</v>
      </c>
      <c r="D5" s="34" t="s">
        <v>25</v>
      </c>
      <c r="E5" s="34" t="s">
        <v>57</v>
      </c>
      <c r="F5" s="34" t="s">
        <v>24</v>
      </c>
      <c r="G5" s="34" t="s">
        <v>58</v>
      </c>
      <c r="H5" s="34" t="s">
        <v>23</v>
      </c>
      <c r="I5" s="34" t="s">
        <v>59</v>
      </c>
      <c r="J5" s="34" t="s">
        <v>60</v>
      </c>
      <c r="K5" s="35" t="s">
        <v>81</v>
      </c>
      <c r="L5" s="22" t="s">
        <v>28</v>
      </c>
      <c r="N5" s="230" t="s">
        <v>284</v>
      </c>
      <c r="O5" s="20" t="s">
        <v>285</v>
      </c>
    </row>
    <row r="6" spans="1:15" s="99" customFormat="1" ht="64" customHeight="1">
      <c r="A6" s="94" t="s">
        <v>20</v>
      </c>
      <c r="B6" s="95">
        <f>906126*((1+0.03)^8)</f>
        <v>1147853.3067674348</v>
      </c>
      <c r="C6" s="95">
        <f>218925+49563*((1+0.03)^8)</f>
        <v>281709.92554381443</v>
      </c>
      <c r="D6" s="95">
        <f>254441*((1+0.03)^8)</f>
        <v>322318.2462783464</v>
      </c>
      <c r="E6" s="95">
        <f>164800+72546*((1+0.03)^8)</f>
        <v>256699.10232434596</v>
      </c>
      <c r="F6" s="95">
        <f>278903*((1+0.03)^8)</f>
        <v>353305.97600925027</v>
      </c>
      <c r="G6" s="95">
        <f>799965*((1+0.03)^8)</f>
        <v>1013371.7281572442</v>
      </c>
      <c r="H6" s="95">
        <f>639972*((1+0.03)^8)</f>
        <v>810697.38252579537</v>
      </c>
      <c r="I6" s="96">
        <v>0</v>
      </c>
      <c r="J6" s="96">
        <v>0</v>
      </c>
      <c r="K6" s="97">
        <f>(0.94*1.2)*H6</f>
        <v>914466.64748909709</v>
      </c>
      <c r="L6" s="98" t="s">
        <v>105</v>
      </c>
      <c r="N6" s="231">
        <f>K6+10488</f>
        <v>924954.64748909709</v>
      </c>
    </row>
    <row r="7" spans="1:15" s="99" customFormat="1" ht="103.5" customHeight="1">
      <c r="A7" s="100" t="s">
        <v>21</v>
      </c>
      <c r="B7" s="95">
        <f>1103592*((1+0.03)^8)</f>
        <v>1397997.3276587219</v>
      </c>
      <c r="C7" s="95">
        <f>678152+151078*((1+0.03)^8)</f>
        <v>869533.09035587823</v>
      </c>
      <c r="D7" s="95">
        <f>784246*((1+0.03)^8)</f>
        <v>993459.3692479122</v>
      </c>
      <c r="E7" s="95">
        <f>485249+274475*((1+0.03)^8)</f>
        <v>832945.71808886586</v>
      </c>
      <c r="F7" s="95">
        <f>930779*((1+0.03)^8)</f>
        <v>1179082.9895838837</v>
      </c>
      <c r="G7" s="95">
        <f>859893*((1+0.03)^8)</f>
        <v>1089286.7255946412</v>
      </c>
      <c r="H7" s="95">
        <f>716475*((1+0.03)^8)</f>
        <v>907609.09406219213</v>
      </c>
      <c r="I7" s="96">
        <v>0</v>
      </c>
      <c r="J7" s="96">
        <v>0</v>
      </c>
      <c r="K7" s="97">
        <f>(0.94*1.2)*D7</f>
        <v>1120622.1685116449</v>
      </c>
      <c r="L7" s="98" t="s">
        <v>106</v>
      </c>
      <c r="N7" s="231">
        <f t="shared" ref="N7:N8" si="0">K7+10488</f>
        <v>1131110.1685116449</v>
      </c>
    </row>
    <row r="8" spans="1:15" s="99" customFormat="1" ht="90.75" customHeight="1">
      <c r="A8" s="105" t="s">
        <v>22</v>
      </c>
      <c r="B8" s="95">
        <f>619069*((1+0.03)^8)</f>
        <v>784218.08751454996</v>
      </c>
      <c r="C8" s="106">
        <f>82293+152257*(1+0.03)^8</f>
        <v>275167.61228183424</v>
      </c>
      <c r="D8" s="95">
        <f>C8*0.75</f>
        <v>206375.70921137568</v>
      </c>
      <c r="E8" s="96">
        <v>0</v>
      </c>
      <c r="F8" s="96">
        <v>0</v>
      </c>
      <c r="G8" s="95">
        <f>82293+152257*(1+0.03)^8</f>
        <v>275167.61228183424</v>
      </c>
      <c r="H8" s="95">
        <f>G8*0.8</f>
        <v>220134.08982546741</v>
      </c>
      <c r="I8" s="95">
        <f>588125*((1+0.03)^8)</f>
        <v>745019.15411609167</v>
      </c>
      <c r="J8" s="95">
        <f>I8*0.8</f>
        <v>596015.32329287333</v>
      </c>
      <c r="K8" s="97">
        <f>(0.94*1.2)*J8</f>
        <v>672305.284674361</v>
      </c>
      <c r="L8" s="107" t="s">
        <v>107</v>
      </c>
      <c r="N8" s="231">
        <f t="shared" si="0"/>
        <v>682793.284674361</v>
      </c>
    </row>
    <row r="9" spans="1:15" s="99" customFormat="1" ht="43" customHeight="1">
      <c r="A9" s="102" t="s">
        <v>125</v>
      </c>
      <c r="B9" s="101">
        <f t="shared" ref="B9:G9" si="1">SUM(B6:B8)</f>
        <v>3330068.7219407069</v>
      </c>
      <c r="C9" s="101">
        <f t="shared" si="1"/>
        <v>1426410.6281815269</v>
      </c>
      <c r="D9" s="101">
        <f t="shared" si="1"/>
        <v>1522153.324737634</v>
      </c>
      <c r="E9" s="101">
        <f t="shared" si="1"/>
        <v>1089644.8204132118</v>
      </c>
      <c r="F9" s="101">
        <f t="shared" si="1"/>
        <v>1532388.9655931341</v>
      </c>
      <c r="G9" s="101">
        <f t="shared" si="1"/>
        <v>2377826.0660337196</v>
      </c>
      <c r="H9" s="101">
        <f t="shared" ref="H9:K9" si="2">SUM(H6:H8)</f>
        <v>1938440.5664134549</v>
      </c>
      <c r="I9" s="101">
        <f t="shared" si="2"/>
        <v>745019.15411609167</v>
      </c>
      <c r="J9" s="101">
        <f t="shared" si="2"/>
        <v>596015.32329287333</v>
      </c>
      <c r="K9" s="108">
        <f t="shared" si="2"/>
        <v>2707394.1006751028</v>
      </c>
      <c r="L9" s="98" t="s">
        <v>108</v>
      </c>
      <c r="N9" s="231">
        <f>SUM(N6:N8)</f>
        <v>2738858.1006751028</v>
      </c>
    </row>
    <row r="11" spans="1:15">
      <c r="A11" s="20" t="s">
        <v>61</v>
      </c>
    </row>
    <row r="12" spans="1:15">
      <c r="A12" s="20" t="s">
        <v>29</v>
      </c>
    </row>
    <row r="14" spans="1:15" ht="59" customHeight="1">
      <c r="A14" s="305" t="s">
        <v>62</v>
      </c>
      <c r="B14" s="305"/>
      <c r="C14" s="305"/>
      <c r="D14" s="305"/>
      <c r="E14" s="305"/>
      <c r="F14" s="305"/>
      <c r="G14" s="305"/>
      <c r="H14" s="305"/>
      <c r="I14" s="305"/>
      <c r="J14" s="305"/>
      <c r="K14" s="305"/>
    </row>
    <row r="15" spans="1:15">
      <c r="A15" s="20" t="s">
        <v>80</v>
      </c>
    </row>
    <row r="22" spans="2:10">
      <c r="B22" s="36"/>
    </row>
    <row r="23" spans="2:10">
      <c r="B23" s="36"/>
    </row>
    <row r="24" spans="2:10">
      <c r="B24" s="37"/>
      <c r="C24" s="38"/>
      <c r="D24" s="38"/>
      <c r="E24" s="38"/>
      <c r="F24" s="38"/>
      <c r="G24" s="38"/>
      <c r="H24" s="38"/>
      <c r="I24" s="38"/>
      <c r="J24" s="38"/>
    </row>
    <row r="25" spans="2:10">
      <c r="B25" s="39"/>
      <c r="C25" s="38"/>
      <c r="D25" s="38"/>
      <c r="E25" s="38"/>
      <c r="F25" s="38"/>
      <c r="G25" s="38"/>
      <c r="H25" s="38"/>
      <c r="I25" s="38"/>
      <c r="J25" s="38"/>
    </row>
    <row r="26" spans="2:10">
      <c r="B26" s="39"/>
      <c r="C26" s="38"/>
      <c r="D26" s="38"/>
      <c r="E26" s="38"/>
      <c r="F26" s="38"/>
      <c r="G26" s="38"/>
      <c r="H26" s="38"/>
      <c r="I26" s="38"/>
      <c r="J26" s="38"/>
    </row>
    <row r="27" spans="2:10">
      <c r="B27" s="36"/>
    </row>
    <row r="28" spans="2:10">
      <c r="B28" s="36"/>
    </row>
    <row r="29" spans="2:10">
      <c r="C29" s="38"/>
    </row>
    <row r="30" spans="2:10">
      <c r="C30" s="38"/>
    </row>
  </sheetData>
  <mergeCells count="2">
    <mergeCell ref="A14:K14"/>
    <mergeCell ref="A3:E3"/>
  </mergeCells>
  <pageMargins left="0.7" right="0.7" top="0.75" bottom="0.75" header="0.3" footer="0.3"/>
  <pageSetup paperSize="9" scale="56"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3" workbookViewId="0">
      <selection activeCell="D31" sqref="D31"/>
    </sheetView>
  </sheetViews>
  <sheetFormatPr baseColWidth="10" defaultColWidth="11.5" defaultRowHeight="12" x14ac:dyDescent="0"/>
  <cols>
    <col min="1" max="1" width="26.6640625" style="23" customWidth="1"/>
    <col min="2" max="3" width="14.1640625" style="50" customWidth="1"/>
    <col min="4" max="4" width="14.33203125" style="50" customWidth="1"/>
    <col min="5" max="10" width="11.5" style="20"/>
    <col min="11" max="11" width="24.1640625" style="20" customWidth="1"/>
    <col min="12" max="16384" width="11.5" style="20"/>
  </cols>
  <sheetData>
    <row r="1" spans="1:4">
      <c r="A1" s="42" t="s">
        <v>110</v>
      </c>
      <c r="B1" s="46"/>
      <c r="C1" s="46"/>
      <c r="D1" s="46"/>
    </row>
    <row r="2" spans="1:4" ht="15.75" customHeight="1">
      <c r="A2" s="51" t="s">
        <v>109</v>
      </c>
      <c r="B2" s="46"/>
      <c r="C2" s="46"/>
      <c r="D2" s="46"/>
    </row>
    <row r="3" spans="1:4">
      <c r="A3" s="43" t="s">
        <v>30</v>
      </c>
      <c r="B3" s="47" t="s">
        <v>44</v>
      </c>
      <c r="C3" s="47" t="s">
        <v>45</v>
      </c>
      <c r="D3" s="47" t="s">
        <v>46</v>
      </c>
    </row>
    <row r="4" spans="1:4">
      <c r="A4" s="43"/>
      <c r="B4" s="47"/>
      <c r="C4" s="47"/>
      <c r="D4" s="47"/>
    </row>
    <row r="5" spans="1:4" ht="24.75" customHeight="1">
      <c r="A5" s="307" t="s">
        <v>112</v>
      </c>
      <c r="B5" s="307"/>
      <c r="C5" s="307"/>
      <c r="D5" s="307"/>
    </row>
    <row r="6" spans="1:4">
      <c r="A6" s="44" t="s">
        <v>111</v>
      </c>
      <c r="B6" s="48">
        <f>15000000/595.27</f>
        <v>25198.649352394714</v>
      </c>
      <c r="C6" s="48"/>
      <c r="D6" s="48"/>
    </row>
    <row r="7" spans="1:4">
      <c r="A7" s="44" t="s">
        <v>31</v>
      </c>
      <c r="B7" s="48">
        <f>3000000/595.27</f>
        <v>5039.7298704789428</v>
      </c>
      <c r="C7" s="48"/>
      <c r="D7" s="48"/>
    </row>
    <row r="8" spans="1:4">
      <c r="A8" s="43" t="s">
        <v>32</v>
      </c>
      <c r="B8" s="47">
        <f>SUM(B6:B7)</f>
        <v>30238.379222873657</v>
      </c>
      <c r="C8" s="47"/>
      <c r="D8" s="47"/>
    </row>
    <row r="9" spans="1:4">
      <c r="A9" s="44"/>
      <c r="B9" s="48"/>
      <c r="C9" s="48"/>
      <c r="D9" s="48"/>
    </row>
    <row r="10" spans="1:4" ht="24.75" customHeight="1">
      <c r="A10" s="307" t="s">
        <v>113</v>
      </c>
      <c r="B10" s="307"/>
      <c r="C10" s="307"/>
      <c r="D10" s="307"/>
    </row>
    <row r="11" spans="1:4" ht="24">
      <c r="A11" s="24" t="s">
        <v>63</v>
      </c>
      <c r="B11" s="49">
        <f>6000000/595.27</f>
        <v>10079.459740957886</v>
      </c>
      <c r="C11" s="49"/>
      <c r="D11" s="49"/>
    </row>
    <row r="12" spans="1:4">
      <c r="A12" s="43" t="s">
        <v>33</v>
      </c>
      <c r="B12" s="47">
        <f>SUM(B11)</f>
        <v>10079.459740957886</v>
      </c>
      <c r="C12" s="47"/>
      <c r="D12" s="47"/>
    </row>
    <row r="13" spans="1:4">
      <c r="A13" s="43"/>
      <c r="B13" s="47"/>
      <c r="C13" s="48"/>
      <c r="D13" s="48"/>
    </row>
    <row r="14" spans="1:4">
      <c r="A14" s="45" t="s">
        <v>114</v>
      </c>
      <c r="B14" s="48"/>
      <c r="C14" s="48"/>
      <c r="D14" s="48"/>
    </row>
    <row r="15" spans="1:4" ht="24">
      <c r="A15" s="44" t="s">
        <v>34</v>
      </c>
      <c r="B15" s="48">
        <f>65000000/595.27</f>
        <v>109194.14719371042</v>
      </c>
      <c r="C15" s="48">
        <f>5000000/595.27</f>
        <v>8399.54978413157</v>
      </c>
      <c r="D15" s="48">
        <f>5000000/595.27</f>
        <v>8399.54978413157</v>
      </c>
    </row>
    <row r="16" spans="1:4">
      <c r="A16" s="44" t="s">
        <v>35</v>
      </c>
      <c r="B16" s="48">
        <f>9000000/595.27</f>
        <v>15119.189611436828</v>
      </c>
      <c r="C16" s="48">
        <f>9000000/595.27</f>
        <v>15119.189611436828</v>
      </c>
      <c r="D16" s="48">
        <f>9000000/595.27</f>
        <v>15119.189611436828</v>
      </c>
    </row>
    <row r="17" spans="1:4">
      <c r="A17" s="44" t="s">
        <v>36</v>
      </c>
      <c r="B17" s="48">
        <f>4000000/595.27</f>
        <v>6719.6398273052564</v>
      </c>
      <c r="C17" s="48">
        <f>4000000/595.27</f>
        <v>6719.6398273052564</v>
      </c>
      <c r="D17" s="48">
        <f>4000000/595.27</f>
        <v>6719.6398273052564</v>
      </c>
    </row>
    <row r="18" spans="1:4">
      <c r="A18" s="43" t="s">
        <v>37</v>
      </c>
      <c r="B18" s="47">
        <f>SUM(B15:B17)</f>
        <v>131032.97663245251</v>
      </c>
      <c r="C18" s="47">
        <f t="shared" ref="C18:D18" si="0">SUM(C15:C17)</f>
        <v>30238.379222873657</v>
      </c>
      <c r="D18" s="47">
        <f t="shared" si="0"/>
        <v>30238.379222873657</v>
      </c>
    </row>
    <row r="19" spans="1:4">
      <c r="A19" s="44"/>
      <c r="B19" s="48"/>
      <c r="C19" s="48"/>
      <c r="D19" s="48"/>
    </row>
    <row r="20" spans="1:4">
      <c r="A20" s="45" t="s">
        <v>117</v>
      </c>
      <c r="B20" s="48"/>
      <c r="C20" s="48"/>
      <c r="D20" s="48"/>
    </row>
    <row r="21" spans="1:4">
      <c r="A21" s="44" t="s">
        <v>115</v>
      </c>
      <c r="B21" s="48">
        <f>900000/595.27</f>
        <v>1511.9189611436827</v>
      </c>
      <c r="C21" s="48">
        <f>900000/595.27</f>
        <v>1511.9189611436827</v>
      </c>
      <c r="D21" s="48">
        <f>900000/595.27</f>
        <v>1511.9189611436827</v>
      </c>
    </row>
    <row r="22" spans="1:4">
      <c r="A22" s="44" t="s">
        <v>38</v>
      </c>
      <c r="B22" s="48">
        <f>3000000/595.27</f>
        <v>5039.7298704789428</v>
      </c>
      <c r="C22" s="48">
        <f>3000000/595.27</f>
        <v>5039.7298704789428</v>
      </c>
      <c r="D22" s="48">
        <f>3000000/595.27</f>
        <v>5039.7298704789428</v>
      </c>
    </row>
    <row r="23" spans="1:4" ht="36">
      <c r="A23" s="44" t="s">
        <v>116</v>
      </c>
      <c r="B23" s="48">
        <f>6000000/595.27</f>
        <v>10079.459740957886</v>
      </c>
      <c r="C23" s="48">
        <f>6000000/595.27</f>
        <v>10079.459740957886</v>
      </c>
      <c r="D23" s="48">
        <f>6000000/595.27</f>
        <v>10079.459740957886</v>
      </c>
    </row>
    <row r="24" spans="1:4">
      <c r="A24" s="43" t="s">
        <v>39</v>
      </c>
      <c r="B24" s="47">
        <f>SUM(B21:B23)</f>
        <v>16631.10857258051</v>
      </c>
      <c r="C24" s="47">
        <f t="shared" ref="C24:D24" si="1">SUM(C21:C23)</f>
        <v>16631.10857258051</v>
      </c>
      <c r="D24" s="47">
        <f t="shared" si="1"/>
        <v>16631.10857258051</v>
      </c>
    </row>
    <row r="25" spans="1:4">
      <c r="A25" s="44"/>
      <c r="B25" s="48"/>
      <c r="C25" s="48"/>
      <c r="D25" s="48"/>
    </row>
    <row r="26" spans="1:4">
      <c r="A26" s="45" t="s">
        <v>186</v>
      </c>
      <c r="B26" s="48"/>
      <c r="C26" s="48"/>
      <c r="D26" s="48"/>
    </row>
    <row r="27" spans="1:4" ht="24">
      <c r="A27" s="44" t="s">
        <v>40</v>
      </c>
      <c r="B27" s="48">
        <f>9000000/595.27</f>
        <v>15119.189611436828</v>
      </c>
      <c r="C27" s="48"/>
      <c r="D27" s="48"/>
    </row>
    <row r="28" spans="1:4">
      <c r="A28" s="44" t="s">
        <v>41</v>
      </c>
      <c r="B28" s="48"/>
      <c r="C28" s="48"/>
      <c r="D28" s="48">
        <f>7000000/595.27</f>
        <v>11759.369697784199</v>
      </c>
    </row>
    <row r="29" spans="1:4">
      <c r="A29" s="43" t="s">
        <v>42</v>
      </c>
      <c r="B29" s="47">
        <f>SUM(B27:B28)</f>
        <v>15119.189611436828</v>
      </c>
      <c r="C29" s="47"/>
      <c r="D29" s="47">
        <f t="shared" ref="D29" si="2">SUM(D27:D28)</f>
        <v>11759.369697784199</v>
      </c>
    </row>
    <row r="30" spans="1:4">
      <c r="A30" s="44"/>
      <c r="B30" s="48"/>
      <c r="C30" s="48"/>
      <c r="D30" s="48"/>
    </row>
    <row r="31" spans="1:4">
      <c r="A31" s="43" t="s">
        <v>79</v>
      </c>
      <c r="B31" s="48">
        <f>B29+B24+B18+B12+B8</f>
        <v>203101.11378030138</v>
      </c>
      <c r="C31" s="48">
        <f t="shared" ref="C31:D31" si="3">C29+C24+C18+C12+C8</f>
        <v>46869.487795454166</v>
      </c>
      <c r="D31" s="48">
        <f t="shared" si="3"/>
        <v>58628.857493238364</v>
      </c>
    </row>
    <row r="32" spans="1:4">
      <c r="A32" s="47" t="s">
        <v>136</v>
      </c>
      <c r="B32" s="47">
        <f>B31+C31+D31</f>
        <v>308599.45906899392</v>
      </c>
      <c r="C32" s="47"/>
      <c r="D32" s="47"/>
    </row>
    <row r="33" spans="1:4">
      <c r="A33" s="44"/>
      <c r="B33" s="48"/>
      <c r="C33" s="48"/>
      <c r="D33" s="48"/>
    </row>
    <row r="34" spans="1:4" ht="24">
      <c r="A34" s="151" t="s">
        <v>64</v>
      </c>
      <c r="B34" s="170"/>
      <c r="C34" s="48"/>
      <c r="D34" s="48"/>
    </row>
    <row r="36" spans="1:4">
      <c r="A36" s="61" t="s">
        <v>78</v>
      </c>
    </row>
  </sheetData>
  <mergeCells count="2">
    <mergeCell ref="A5:D5"/>
    <mergeCell ref="A10:D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Deworming wishlist</vt:lpstr>
      <vt:lpstr>GW summary of funding gaps</vt:lpstr>
      <vt:lpstr>GiveWell ranking</vt:lpstr>
      <vt:lpstr>Nigeria - four states</vt:lpstr>
      <vt:lpstr>Nigeria - Benue</vt:lpstr>
      <vt:lpstr>Guinea Bissau</vt:lpstr>
      <vt:lpstr>DRC</vt:lpstr>
      <vt:lpstr>South Sudan</vt:lpstr>
      <vt:lpstr>Cameroon</vt:lpstr>
      <vt:lpstr>Guinea</vt:lpstr>
      <vt:lpstr>Cote d'Ivoire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2016-10-12T17:46:42Z</cp:lastPrinted>
  <dcterms:created xsi:type="dcterms:W3CDTF">2016-07-13T09:10:09Z</dcterms:created>
  <dcterms:modified xsi:type="dcterms:W3CDTF">2016-11-30T21:41:10Z</dcterms:modified>
</cp:coreProperties>
</file>