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5725"/>
  <workbookPr filterPrivacy="1" showInkAnnotation="0" autoCompressPictures="0"/>
  <bookViews>
    <workbookView xWindow="0" yWindow="0" windowWidth="25520" windowHeight="15600" tabRatio="500"/>
  </bookViews>
  <sheets>
    <sheet name="RCT Prediction" sheetId="7" r:id="rId1"/>
    <sheet name="Additional Inputs" sheetId="6"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101" i="7" l="1"/>
  <c r="G100" i="7"/>
  <c r="G99" i="7"/>
  <c r="G28" i="7"/>
  <c r="G25" i="7"/>
  <c r="G32" i="7"/>
  <c r="G36" i="7"/>
  <c r="G45" i="7"/>
  <c r="G57" i="7"/>
  <c r="G76" i="7"/>
  <c r="G77" i="7"/>
  <c r="G80" i="7"/>
  <c r="G92" i="7"/>
  <c r="G88" i="7"/>
  <c r="D28" i="7"/>
  <c r="D25" i="7"/>
  <c r="D32" i="7"/>
  <c r="D36" i="7"/>
  <c r="D45" i="7"/>
  <c r="D57" i="7"/>
  <c r="D77" i="7"/>
  <c r="D80" i="7"/>
  <c r="D92" i="7"/>
  <c r="D88" i="7"/>
  <c r="D24" i="7"/>
  <c r="D26" i="7"/>
  <c r="D27" i="7"/>
  <c r="D29" i="7"/>
  <c r="A9" i="6"/>
  <c r="A10" i="6"/>
  <c r="A11" i="6"/>
  <c r="A12" i="6"/>
  <c r="A13" i="6"/>
  <c r="A8" i="6"/>
  <c r="G20" i="7"/>
  <c r="G21" i="7"/>
  <c r="G27" i="7"/>
  <c r="G24" i="7"/>
  <c r="G31" i="7"/>
  <c r="G9" i="7"/>
  <c r="G13" i="7"/>
  <c r="D14" i="7"/>
  <c r="G14" i="7"/>
  <c r="G15" i="7"/>
  <c r="G10" i="7"/>
  <c r="G11" i="7"/>
  <c r="G17" i="7"/>
  <c r="G35" i="7"/>
  <c r="G39" i="7"/>
  <c r="G44" i="7"/>
  <c r="G52" i="7"/>
  <c r="G56" i="7"/>
  <c r="G67" i="7"/>
  <c r="G66" i="7"/>
  <c r="G68" i="7"/>
  <c r="G69" i="7"/>
  <c r="G71" i="7"/>
  <c r="G65" i="7"/>
  <c r="G72" i="7"/>
  <c r="G91" i="7"/>
  <c r="G61" i="7"/>
  <c r="G70" i="7"/>
  <c r="G87" i="7"/>
  <c r="G95" i="7"/>
  <c r="G53" i="7"/>
  <c r="G75" i="7"/>
  <c r="G74" i="7"/>
  <c r="G81" i="7"/>
  <c r="G62" i="7"/>
  <c r="G96" i="7"/>
  <c r="G29" i="7"/>
  <c r="G26" i="7"/>
  <c r="G33" i="7"/>
  <c r="G37" i="7"/>
  <c r="G46" i="7"/>
  <c r="G54" i="7"/>
  <c r="G58" i="7"/>
  <c r="G83" i="7"/>
  <c r="G84" i="7"/>
  <c r="G85" i="7"/>
  <c r="G93" i="7"/>
  <c r="G63" i="7"/>
  <c r="G89" i="7"/>
  <c r="G97" i="7"/>
  <c r="G109" i="7"/>
  <c r="G110" i="7"/>
  <c r="G111" i="7"/>
  <c r="G102" i="7"/>
  <c r="D126" i="7"/>
  <c r="G22" i="7"/>
  <c r="D102" i="7"/>
  <c r="G78" i="7"/>
  <c r="G50" i="7"/>
  <c r="G49" i="7"/>
  <c r="G48" i="7"/>
  <c r="G121" i="7"/>
  <c r="G113" i="7"/>
  <c r="G114" i="7"/>
  <c r="G115" i="7"/>
  <c r="G122" i="7"/>
  <c r="G124" i="7"/>
  <c r="G79" i="7"/>
  <c r="G5" i="7"/>
  <c r="D121" i="7"/>
  <c r="D31" i="7"/>
  <c r="D10" i="7"/>
  <c r="D15" i="7"/>
  <c r="D11" i="7"/>
  <c r="D17" i="7"/>
  <c r="D35" i="7"/>
  <c r="D44" i="7"/>
  <c r="D56" i="7"/>
  <c r="D68" i="7"/>
  <c r="D71" i="7"/>
  <c r="D91" i="7"/>
  <c r="D70" i="7"/>
  <c r="D87" i="7"/>
  <c r="D95" i="7"/>
  <c r="D113" i="7"/>
  <c r="D96" i="7"/>
  <c r="D114" i="7"/>
  <c r="D33" i="7"/>
  <c r="D37" i="7"/>
  <c r="D46" i="7"/>
  <c r="D58" i="7"/>
  <c r="D93" i="7"/>
  <c r="D89" i="7"/>
  <c r="D97" i="7"/>
  <c r="D115" i="7"/>
  <c r="D122" i="7"/>
  <c r="D124" i="7"/>
  <c r="D79" i="7"/>
  <c r="D4" i="7"/>
  <c r="B7" i="6"/>
  <c r="C8" i="6"/>
  <c r="C9" i="6"/>
  <c r="C10" i="6"/>
  <c r="C7" i="6"/>
  <c r="D7" i="6"/>
  <c r="E7" i="6"/>
  <c r="F7" i="6"/>
  <c r="M10" i="6"/>
  <c r="M9" i="6"/>
  <c r="M6" i="6"/>
  <c r="M5" i="6"/>
  <c r="M3" i="6"/>
  <c r="M2" i="6"/>
  <c r="E10" i="6"/>
  <c r="D10" i="6"/>
  <c r="B10" i="6"/>
  <c r="E9" i="6"/>
  <c r="D9" i="6"/>
  <c r="B9" i="6"/>
  <c r="E8" i="6"/>
  <c r="D8" i="6"/>
  <c r="B8" i="6"/>
</calcChain>
</file>

<file path=xl/sharedStrings.xml><?xml version="1.0" encoding="utf-8"?>
<sst xmlns="http://schemas.openxmlformats.org/spreadsheetml/2006/main" count="501" uniqueCount="193">
  <si>
    <t>Drug quality: Proportion of treatments prescribed that are of sufficient quality</t>
  </si>
  <si>
    <t>Guess</t>
  </si>
  <si>
    <t>Effective coverage before the campaign</t>
  </si>
  <si>
    <t>Effective coverage after the campaign</t>
  </si>
  <si>
    <t>Cost per life saved</t>
  </si>
  <si>
    <t>Cost per year - DMI's central costs</t>
  </si>
  <si>
    <t>Adjustments for strength of evidence</t>
  </si>
  <si>
    <t>Adjustment for the midline results being self-reported</t>
  </si>
  <si>
    <t>http://www.givewell.org/international/technical/programs/insecticide-treated-nets#HowcosteffectiveisLLINdistribution</t>
  </si>
  <si>
    <t>Implies DMI is X times as cost effective as bednets:</t>
  </si>
  <si>
    <t>Cameroon DHS Pg 154.</t>
  </si>
  <si>
    <t>Pneumonia deaths between ages 28 days and 59 months per year in target country</t>
  </si>
  <si>
    <t>Malaria deaths between ages 28 days and 59 months per year in target country</t>
  </si>
  <si>
    <t>Diarrhea deaths between ages 28 days and 59 months per year in target country</t>
  </si>
  <si>
    <t>Cameroon DHS 2012 women 15-49yo in country that report listening to the radio in the last week.</t>
  </si>
  <si>
    <t>Estimate from Lives Saved Tool (LiST)</t>
  </si>
  <si>
    <t>Cost per year - target country</t>
  </si>
  <si>
    <t>Effectiveness rate due to non-compliance before campaign:</t>
  </si>
  <si>
    <t>Effectiveness rate due to non-compliance after campaign:</t>
  </si>
  <si>
    <t>Yes</t>
  </si>
  <si>
    <t>No</t>
  </si>
  <si>
    <t>Treatment failure rate of non-compliance (if a parent stops giving their child antibiotics once the symptoms go away, how likely is the treatment to fail to prevent death?)</t>
  </si>
  <si>
    <t>Compliance after campaign</t>
  </si>
  <si>
    <t>Timeliness: Proportion of those prescribed treatment early enough to have life saving effect</t>
  </si>
  <si>
    <t>Compliance: Proportion of those who receive treatment that comply with the treatment sufficiently for life saving effect</t>
  </si>
  <si>
    <t>Treatment failure rate for non-compliance (if a parent stops giving their child antimalarials once the symptoms go away, how likely is the treatment to fail to prevent death?)</t>
  </si>
  <si>
    <t>Timeliness: Proportion of those who receive treatment early enough to have life saving effect relative to "community case management" approach used to generate cure rate estaimte (row 58).</t>
  </si>
  <si>
    <t>Expected years of program benefits (at midline effectiveness; e.g. can assume that early period of the program has no effect)</t>
  </si>
  <si>
    <t>Deaths averted</t>
  </si>
  <si>
    <t>"</t>
  </si>
  <si>
    <t>Expected years of program costs</t>
  </si>
  <si>
    <t>Adjusted</t>
  </si>
  <si>
    <t>Received</t>
  </si>
  <si>
    <t>Sought</t>
  </si>
  <si>
    <t>Unadjusted</t>
  </si>
  <si>
    <t>RCT Results</t>
  </si>
  <si>
    <t>Column key</t>
  </si>
  <si>
    <t>Baseline treatment for cough or fast/difficult breathing in Burkina Faso</t>
  </si>
  <si>
    <t>Baseline treatment for fever in Burkina Faso</t>
  </si>
  <si>
    <t>Baseline treatment for diarrhea in Burkina Faso</t>
  </si>
  <si>
    <t>Selection of RCT alternative measurements</t>
  </si>
  <si>
    <t>Treatment received or sought</t>
  </si>
  <si>
    <t>Adjusted or unadjusted data</t>
  </si>
  <si>
    <t>Campaign listenership</t>
  </si>
  <si>
    <t>Custom</t>
  </si>
  <si>
    <t>RCT results or custom inputs</t>
  </si>
  <si>
    <t>Women listening to the campaign in Burkina Faso</t>
  </si>
  <si>
    <t>Source</t>
  </si>
  <si>
    <t>Notes</t>
  </si>
  <si>
    <t>-</t>
  </si>
  <si>
    <t>GiveWell calculation</t>
  </si>
  <si>
    <t>GiveWell assumption (the same as in Burkina Faso)</t>
  </si>
  <si>
    <t>GiveWell assumption</t>
  </si>
  <si>
    <t>Input based on selections above</t>
  </si>
  <si>
    <t>Cells in light orange are inputs generally with supporting sources</t>
  </si>
  <si>
    <t>Cells in brighter orange are inputs generally relying on signficant judgement</t>
  </si>
  <si>
    <t>Behavior change from campaign</t>
  </si>
  <si>
    <t>See table on Inputs sheet for source and comparison of alternatives</t>
  </si>
  <si>
    <t>Increase in treatment for cough or fast/difficult breathing due to the campaign in Burkina Faso</t>
  </si>
  <si>
    <t>Increase in treatment for fever due to the campaign in Burkina Faso</t>
  </si>
  <si>
    <t>Increase in treatment for diarrhea due to the campaign in Burkina Faso</t>
  </si>
  <si>
    <t>Baseline and treatment effects observed in RCT in Burkina Faso</t>
  </si>
  <si>
    <t>Guess. Less than 100% implies RCT results overstate true impact. Consider: Wood 2007: "n trials with subjective outcomes effect estimates were exaggerated when there was inadequate or unclear allocation concealment (ratio of odds ratios 0.69 (95% CI 0.59 to 0.82)) or lack of blinding (0.75 (0.61 to 0.93))." http://www.bmj.com/content/336/7644/601</t>
  </si>
  <si>
    <t>Guess. Examples include producing 10 long format modules/week; significant financial, managerial, and equipment support for radio stations; and PMC's concurrent family planning serials. Consider: In Burkina Faso, DMI expects to spend roughly as much for a nationwide scaleup as it did on the RCT (1/4 as many stations), but that includes global costs and some costs particular to running a program being studied by an RCT (such as having to stick with partner stations</t>
  </si>
  <si>
    <t>Do you want to credit the program for increasing compliance?</t>
  </si>
  <si>
    <t>The RCT found a 6.6% increase (p=0.39) in Burkina Faso. We use this for our target market expecatations, applying the same adjustments for strength of evidence to this finding.</t>
  </si>
  <si>
    <t>Guess. We do not know of reasonable data to inform this.</t>
  </si>
  <si>
    <t>Theodoratou et al. 2010 (http://ije.oxfordjournals.org/content/39/suppl_1/i155.full); meta-analysis reference for the Lives Saved Tool (LiST). "We estimate that community case management of pneumonia could result in a 70% reduction in mortality from pneumonia in 0–5-year-old children."</t>
  </si>
  <si>
    <t>Cameroon DHS 2011 antimalarials received whole country</t>
  </si>
  <si>
    <t>Cameroon DHS, Pg 147</t>
  </si>
  <si>
    <t>Lives Saved Tool (LiST) but original source unclear.</t>
  </si>
  <si>
    <t>We have not conducted a thorough investigation of the effectiveness of antimalarials, but believe it is unlikely to be much below 84%. See for example http://www.who.int/malaria/areas/treatment/drug_efficacy/en/ and http://www.malariajournal.com/content/7/1/55 "All treatment regimens, except for the chloroquine (CQ) treatment group, resulted in clinical cure rates above 97.6% by day-14 and 96.7% by day-28 (adjusted by genotyping)"</t>
  </si>
  <si>
    <t>Guess, based on our understanding that it is a fairly simple formula and there are a broad range of possible helpful ingredients.</t>
  </si>
  <si>
    <t>Pneumonia deaths averted between ages 28 days and 59 months per year in target country</t>
  </si>
  <si>
    <t>Malaria deaths averted between ages 28 days and 59 months per year in target country</t>
  </si>
  <si>
    <t>Diarrhea deaths averted between ages 28 days and 59 months per year in target country</t>
  </si>
  <si>
    <t>Deaths</t>
  </si>
  <si>
    <t>Program Costs</t>
  </si>
  <si>
    <t>Factor to reflect years of effectiveness at the level observed in the RCT. We assume that the program effectiveness increases linearly over the first year at which point it is effective enough to create the impact observed in the RCT to estimate 4.5. The midline survey was done 18-20 months into the program. It is possible that the program effectiveness increases beyond the first year or beyond the midline survey, in which case the number could be decreased or increased, respectively.</t>
  </si>
  <si>
    <t>For Drop down validation</t>
  </si>
  <si>
    <t>Non-treatment seekers whose behavior is expected to change due to campaign in target country, adjusted for stength of evidence</t>
  </si>
  <si>
    <t>Percentage of non-treatment group who join treatment group for cough or fast/difficult breathing due to the campaign in Burkina Faso</t>
  </si>
  <si>
    <t>Percentage of non-treatment group who join treatment group for fever due to the campaign in Burkina Faso</t>
  </si>
  <si>
    <t>Percentage of non-treatment group who join treatment group for diarrhea due to the campaign in Burkina Faso</t>
  </si>
  <si>
    <t>Adjusted percentage of non-treatment group who join treatment group for cough or fast/difficult breathing due to the campaign in target country</t>
  </si>
  <si>
    <t>Adjusted percentage of non-treatment group who join treatment group for fever due to the campaign in target country</t>
  </si>
  <si>
    <t>Adjusted percentage of non-treatment group who join treatment group for diarrhea due to the campaign in target country</t>
  </si>
  <si>
    <t>Adjustment to account for extraordinary measures taken during DMI's RCT</t>
  </si>
  <si>
    <t>Replicability adjustment to account for relying on just this single RCT</t>
  </si>
  <si>
    <t>Guess. Rough midpoint of the low end and high end of Ioannidis 2005's theoretical replicability (Table 4 in http://www.plosmedicine.org/article/info:doi/10.1371/journal.pmed.0020124): between "Adequately powered RCT with little bias and 1:1 pre-study odds" and "Underpowered but well-performed Phase I/II RCT". Note that GiveWell used this same 50% replicability adjustment for deworming in our 2013 cost effectiveness model: http://www.givewell.org/files/DWDA%202009/2013%20GiveWell%20Cost%20effectiveness%20analysis%20final.xlsx (See cell G8 of the model). Note, in addition to it being just one RCT, there are open questions about the RCT including that it has many outcome variables without declaring some of them primary.</t>
  </si>
  <si>
    <t>Listenership differences between Burkina Faso and target country</t>
  </si>
  <si>
    <t>Proportion of women who are regular radio listeners in Burkina Faso</t>
  </si>
  <si>
    <t>Proportion of women who are regular radio listeners in target country</t>
  </si>
  <si>
    <t xml:space="preserve">We intepret the data we have ("women who listened to the radio in the past week in Burkina Faso") as "regular radio listeners" (consistent with DMI's observation below) in order to calculate the proportion of all women who listen. This could introduce error as these observations are from different sources. </t>
  </si>
  <si>
    <t>Proportion of women who are regular radio listeners and listened to the campaign in Burkina Faso</t>
  </si>
  <si>
    <t>Proportion of women who are regular radio listeners and would listen to the campaign in target country</t>
  </si>
  <si>
    <t>Proportion of women who would listen to the campaign in target country</t>
  </si>
  <si>
    <t>Percentage of non-treatment group who would join treatment group for cough or fast/difficult breathing due to the campaign in target country</t>
  </si>
  <si>
    <t>Percentage of non-treatment group who would join treatment group for fever due to the campaign in target country</t>
  </si>
  <si>
    <t>Percentage of non-treatment group who would join treatment group for diarrhea due to the campaign in target country</t>
  </si>
  <si>
    <t>Non-treatment seekers whose behavior was changed by the campaign in Burkina Faso</t>
  </si>
  <si>
    <t>Non-treatment seekers whose behavior would change due to a campaign in target country</t>
  </si>
  <si>
    <t>Women listening to a campaign in target country</t>
  </si>
  <si>
    <t>Implied from listenership differences</t>
  </si>
  <si>
    <t>Proportion of women who would change treatment behavior in target country relative to the proportion in Burkina Faso</t>
  </si>
  <si>
    <t>Note, instead of estimating this from the data above, one could just estimate this factor directly (e.g. from intuition) in this row. For simplicity, we assume this is constant across the behaviors we model.</t>
  </si>
  <si>
    <t>Coverage before the campaign in target country: ORS for diarrhea</t>
  </si>
  <si>
    <t>Availability: Proportion of pnemonia cases seeking treatment that receive treatment</t>
  </si>
  <si>
    <t>Availability: Proportion of malaria cases seeking treatment that receive treatment</t>
  </si>
  <si>
    <t>Availability: Proportion of diarrhea cases seeking treatment that receive treatment</t>
  </si>
  <si>
    <t>Coverage before the campaign in target country: antibiotics for pneumonia</t>
  </si>
  <si>
    <t>Coverage before the campaign in target country: antimalarials</t>
  </si>
  <si>
    <t>Coverage after the campaign in target country: antibiotics for pneumonia</t>
  </si>
  <si>
    <t>Coverage after the campaign in target country: antimalarials</t>
  </si>
  <si>
    <t>Percent reduction in pneumonia mortality at 100% effective antibiotic coverage</t>
  </si>
  <si>
    <t>Percent reduction in malaria mortality at 100% effective antimalarial coverage</t>
  </si>
  <si>
    <t>Percent reduction in diarrhea mortality at 100% effective ORS coverage</t>
  </si>
  <si>
    <t>Coverage after the campaign in target country: ORS for diarrhea</t>
  </si>
  <si>
    <t>Compliance: Proportion of those who receive treatment that comply with the treatment sufficiently for life saving effect  (compared to observation)</t>
  </si>
  <si>
    <t>Percent of current pnemonia deaths that will be averted due to increase in effective coverage</t>
  </si>
  <si>
    <t>Percent of current diarrhea deaths that will be averted due to increase in effective coverage</t>
  </si>
  <si>
    <t>Percent of current malaria deaths that will be averted due to increase in effective coverage</t>
  </si>
  <si>
    <t>Munos, Walker, and Black 2010 (http://ije.oxfordjournals.org/content/39/suppl_1/i75.full); metanalysis reference for the Lives Saved Tool (LiST). "We estimated that ORS may prevent 93% of diarrhoea deaths."</t>
  </si>
  <si>
    <t>Affected fraction (percent of cause-specific deaths that are curable by relevant treatment)</t>
  </si>
  <si>
    <t>Percent of deaths due to pneumonia that are curable by antibiotics)</t>
  </si>
  <si>
    <t>Percent of deaths due to malaria that are curable by antimalarials)</t>
  </si>
  <si>
    <t>Percent of deaths due to diarrhea that are curable by ORS)</t>
  </si>
  <si>
    <t>We believe that diarrhea deaths also capture dysentery, which is not treatable by ORS.</t>
  </si>
  <si>
    <t>Treatment effectiveness, observed in community case management studies</t>
  </si>
  <si>
    <t>Treatment coverage before the campaign in the target country</t>
  </si>
  <si>
    <t>Availability of treatment in the target country</t>
  </si>
  <si>
    <t>Treatment coverage after the campaign in the target country</t>
  </si>
  <si>
    <t>Timeliness: proportion of children that receive treatment early enough to save life</t>
  </si>
  <si>
    <t>In RCT, this values ranged from 80% - 87%. We assume compliance was high in community case management observation.</t>
  </si>
  <si>
    <t>Effective treatment coverage before the campaign in the target country</t>
  </si>
  <si>
    <t>Effective treatment coverage after the campaign in the target country</t>
  </si>
  <si>
    <t>Proportion of deaths that would be averted due to behavior change from the campaign in the target country</t>
  </si>
  <si>
    <t>These options can be adjusted to decide which behavior change data from the RCT should be used, or to use custom data instead. See Inputs sheet for the suggested options.</t>
  </si>
  <si>
    <t>Effectiveness (in averting deaths) of treatments for changed behaviors</t>
  </si>
  <si>
    <t>Proportion of women who listened to the campaign "regularly" in Burkina Faso</t>
  </si>
  <si>
    <t>Use reported RCT results or custom inputs. Note there is an opportunity below to adjust the results for the strength of evidence.</t>
  </si>
  <si>
    <t>The RCT midline results study authors controlled for distance to health facility in comparing treatment and control arms because there were significant differences between the two at baseline. Unadjusted data simply compare the two arms without any confounding variables.</t>
  </si>
  <si>
    <t>Implied from RCT data, assuming the campaign caused all observed behavior change in treatment groups, subtracting out the same change in control groups (but allowing no worse than no change).</t>
  </si>
  <si>
    <t>Select whether to use estimates of treatment "sought" or treatment "received" by child.  If using "sought" numbers, the adjustment for the "Availability of treatment in target country" should be adjusted (further below). Default is set to "received" because it is a more direct measure of the improved health outcome (life saved through improved treatment). However, it does depend more on external factors such as the availability of health supplies, so if a user has confidence in the relative availability of health supplies in a country to which DMI is expanding relative to Burkina Faso, it may be more appropriate to use "sought" figures and the "availability of treatment in target country" adjustment below.</t>
  </si>
  <si>
    <t>Coverage before the campaign is the percentage of children whose mothers report them seeking/receiving this treatment in response to symptoms in the prior two weeks. We believe this is consistent with the baseline treatment observations in Burkina Faso.</t>
  </si>
  <si>
    <t>As a starting point for understanding treatment effectiveness, we start with other sources who report the effectiveness of treatment during community case management studies. We then adjust this for differences we expect in the target country from observation of community case management, although we do not have many details on the latter. For example, we expect compliance to be much lower without the close oversight that we expect to be associated with the community case management trials, but we have no particular expectation about differences in drug quality.</t>
  </si>
  <si>
    <t>Guess. For context, 1/3 to 1/2 of antibiotics were given within 24 hours in RCT. We are unsure of how early treatment must be received to prevent death.</t>
  </si>
  <si>
    <t>The RCT found an 8.6 percentage point increase (p=0.278) for children receiving 3 days of ACT treatment in Burkina Faso. Values in the control group and treatment group ranged from 80% to 87% compliance at baseline and midline.</t>
  </si>
  <si>
    <t>Reduction in "Cause specific mortality" (93%) from metanalysis on effectiveness of ORS should include timeliness issues ("We defined coverage as the proportion of diarrhoea episodes in children aged &lt;5 years for which the child received ORS"), so 100% value here means similar timeliness issues as existed in the studies of ORS case rate efficacy. Also, consider that of the additional children that were receiving ORS at midline, about 80% of them (or the equivalent number of children) received the ORS within 24 hours (p=0.016unadj or 0.046adj). We are not sure how quickly ORS must be received to prevent death, so the default value of 90% is a guess that half of those not receiving ORS within 24hours are "too late".</t>
  </si>
  <si>
    <t>By "effective coverage," we mean the percentage of children who receive effective treatment (that would be expected to prevent death, if it would otherwise have occurred), out of the set of children with relevant symptoms, as identified by mothers.</t>
  </si>
  <si>
    <t>Explanation of the calculation: The denominator represents all deaths from the disease (which are split into those who weren't treated, and those who were treated but effective treatment wouldn't save). The numerator is the deaths that will be averted. So the ratio, scaled by the affected fraction, is the percent of cause specific deaths that will be averted.</t>
  </si>
  <si>
    <t>DMI says it only needs $1.3 M to do full spots nationwide in Cameroon. $2.1 for Burkina Faso (total), $2.7 for DRC. (GiveWell's non-verbatim summary of a conversation with Roy Head and Will Snell on October 29th, 2014)</t>
  </si>
  <si>
    <t>Unclear. DMI takes a percentage of each restricted grant for global overhead, which is already included in its estimates of country costs, above. (GiveWell's non-verbatim summary of a conversation with Roy Head and Will Snell on October 29th, 2014) Alternatively, consider that they think their London office costs would be about $1M to run 5 countries (a $10M operation).</t>
  </si>
  <si>
    <t>Weekly radio listeners in Burkina Faso, females from DHS [DMI cost-effectiveness Model 2014]</t>
  </si>
  <si>
    <t xml:space="preserve">Proportion of women who are regular radio listeners who recognized at least one of two spots played for them in treatment minus control. [Based on interpretation of graph; Figure 7A, LSHTM DMI RCT draft midline results June 2014, Preliminary Results)].  </t>
  </si>
  <si>
    <t>For comparison: (75% of all women that recognized at least 1 of 2 spots played) - (20% in the control) = 55% [Source: LSHTM DMI RCT draft midline results June 2014]</t>
  </si>
  <si>
    <t>In RCT this value ranged from 40% - 55% (in control and treatment @ baseline and midline Source: LSHTM DMI RCT draft midline results June 2014). We assume compliance was high in community case management observation.</t>
  </si>
  <si>
    <t>Unlike pnemonia and malaria, for diarrhea proper compliance is directly tied to the presence of the symptom, so compliance issues seem less likely. Given this, we do not include in our model the possibility of the campaign influencing compliance. Note, the reduction in "Cause specific mortality" (93%) from metanalysis should include compliance issues ("We defined coverage as the proportion of diarrhoea episodes in children aged &lt;5 years for which the child received ORS").</t>
  </si>
  <si>
    <t>Adjust if you think regular radio listeners in target country are more or less likely to listen to DMI's partner stations. Note, one consideration could be if the target audience is more urban, which could lead you to think this would be lower (e.g. more radio stations to choose from leads to fewer listeners of the program).</t>
  </si>
  <si>
    <t>We assume that those in the control that said they listened to the program provides an estimate for incorrect answers, so we subtracted that portion of listeners from the treatment group. It is possible that some members in the control group actually did listen to the program. By default, this value is assumed to be the same in future campaigns (see target country listenership data), and therefore "cancels out" of the final estimate</t>
  </si>
  <si>
    <t>Using an estimate from DRC as our best guess: Assuming that all types of antimalarials prevent death, but using slightly below 100% to account for a small proportion of fake antimalarials. Compare to: "Among outlets stocking antimalarials, first-line quality assured ACT (FAACT) was more commonly available in the public/not for profit sector compared to the private sector (76% vs. 26%). Only 1 in 4 drug stores stocked FAACT, compared to 3 in 4 public/not for profit outlets. Stocking rates of non- artemisinin monotherapies were above 90% for all outlet categories. Oral artemisinin monotherapy was observed more often in for-profit outlets (41%) than in public/not for profit outlets (10%). Half of all drug stores with antimalarials in stock stocked oral artemisinin monotherapy." [ACTWatch 2009 DRC Outlet Survey Report: http://www.actwatch.info/sites/default/files/content/outlet-reports/DRC%20OS%20Report_2009.pdf]</t>
  </si>
  <si>
    <t>Used in model as:</t>
  </si>
  <si>
    <t>Pneumonia, treatment effectiveness adjustments</t>
  </si>
  <si>
    <t>Malaria, treatment effectiveness adjustments</t>
  </si>
  <si>
    <t>Diarrhea, treatment effectiveness adjustments</t>
  </si>
  <si>
    <t>If using "sought" estimates above, this factor should include a discount for the portion of people that decide to seek treatment as a result of DMI's program, but fail to find it.</t>
  </si>
  <si>
    <t>Guess. 100% means each listener in the target country is as likely to be affected as listeners in Burkina Faso and that drugs are equally available; less than 100% means listeners will change less easily or drugs will be less available than in Burkina Faso. We believe other countries could have larger or smaller changes due to these conditions, but the associated uncertainty alone suggests a discount. For example, if there are religious or superstitious beliefs that contradict with DMI's messages, that may significantly affect the efficacy of its program. Also, urban dwellers could be more exposed and therefore less sensitive to mass media messages.</t>
  </si>
  <si>
    <t>External validity adjustment for different behavior change tendencies and/or drug availability in target country compared to Burkina Faso</t>
  </si>
  <si>
    <t>Category</t>
  </si>
  <si>
    <t>Description of line</t>
  </si>
  <si>
    <t>Source:  LSHTM DMI RCT draft midline results June 2014</t>
  </si>
  <si>
    <t>Burkina equivalent</t>
  </si>
  <si>
    <t>Weighted average of control and intervention arms at baseline</t>
  </si>
  <si>
    <t>Proportion of under five deaths that are due to pneumonia</t>
  </si>
  <si>
    <t>Proportion of under five deaths that are due to malaria</t>
  </si>
  <si>
    <t>Proportion of under five deaths that are due to diarrhea</t>
  </si>
  <si>
    <t>Current under five death causes in Burkina Faso</t>
  </si>
  <si>
    <t>Implied projected portion of under five deaths prevented by DMI at endline</t>
  </si>
  <si>
    <t>Implies DMI RCT will find X% reduction in all-cause post-neonatal under-5 mortality in its zones in Burkina Faso:</t>
  </si>
  <si>
    <t>Guess. Rough midpoint of the low end and high end of Ioannidis 2005's theoretical replicability (Table 4 in http://www.plosmedicine.org/article/info:doi/10.1371/journal.pmed.0020124): between "Adequately powered RCT with little bias and 1:1 pre-study odds" and "Underpowered but well-performed Phase I/II RCT". Note that GiveWell used this same 50% replicability adjustment for deworming in our 2013 cost effectiveness model: http://www.givewell.org/files/DWDA%202009/2013%20GiveWell%20Cost%20effectiveness%20analysis%20final.xlsx (See cell G8 of the model). Note, in addition to it being just one RCT, there are open questions about the RCT including that, at midline, it has many outcome variables without declaring some of them primary (at endline post-neonatal under-five mortality is primary outcome).</t>
  </si>
  <si>
    <t>Full DMI review: http://www.givewell.org/international/charities/DMI</t>
  </si>
  <si>
    <t>IHME Global Burden of Disease (http://vizhub.healthdata.org/gbd-compare/) [w/ search parameters: "Age plot" "Cause of Disease …" "A.2.3. Lower Respiratory Infections" "deaths" "Cameroon" "2010" "Both" "#s", adding 28-364 day point estimate (3924.15) to 1-4 year point estimate (2523.13) =6447.28]</t>
  </si>
  <si>
    <t>IHME Global Burden of Disease (http://vizhub.healthdata.org/gbd-compare/)[w/ search parameters: "Age plot" "Cause of Disease …" "A.2.1. Diarrheal diseases" "deaths" "Cameroon" "2010" "Both" "#s", adding 28-364 day point estimate (3710.51) to 1-4 year point estimate (2906.19) = 6616.61]</t>
  </si>
  <si>
    <t>IHME Global Burden of Disease (http://vizhub.healthdata.org/gbd-compare/)[w/ search parameters: "Age plot" "Cause of Disease …" "A.2.1. Diarrheal diseases" "deaths" "Burkina Faso" "2010" "Both" "#s", adding 28-364 day point estimate (8700.19) to 1-4 year point estimate (9883.77) =18584]</t>
  </si>
  <si>
    <t>IHME Global Burden of Disease (http://vizhub.healthdata.org/gbd-compare/) [w/ search parameters: "Age plot" "Cause of Disease …" "A.3.1. Malaria" "deaths" "Burkina Faso" "2010" "Both" "#s", adding 28-364 day point estimate (8,545.15) to 1-4 year point estimate (20,609.8) = 29155]</t>
  </si>
  <si>
    <t>IHME Global Burden of Disease (http://vizhub.healthdata.org/gbd-compare/) [w/ search parameters: "Age plot" "Cause of Disease …" "A.2.3. Lower Respiratory Infections" "deaths" "Burkina Faso" "2010" "Both" "#s", adding 28-364 day point estimate (7053.27) to 1-4 year point estimate (6821.38) =13875]</t>
  </si>
  <si>
    <t>IHME Global Burden of Disease (http://vizhub.healthdata.org/gbd-compare/) [w/ search parameters: "Age plot" "Cause of Disease …" "A.3.1. Malaria" "deaths" "Cameroon" "deaths" "2010" "Both" "#s", adding 28-364 day point estimate (4892.48) to 1-4 year point estimate (9213.71) = 14106]</t>
  </si>
  <si>
    <t>See this post for further context about this analysis: http://blog.givewell.org/2014/12/22/should-we-expect-an-ongoing-study-to-meet-its-goal/</t>
  </si>
  <si>
    <t xml:space="preserve">Based in part on private information, GiveWell estimates the cost per life saved of a DMI program in Cameroon to be $7,264 </t>
  </si>
  <si>
    <t>Numerator: IHME Global Burden of Disease (http://vizhub.healthdata.org/gbd-compare/) [w/ search parameters: "Age plot" "Cause of Disease …" "A.2.3. Lower Respiratory Infections" "deaths" "Burkina Faso" "2010" "Both" "#s", adding 28-364 day point estimate (7053.27) to 1-4 year point estimate (6821.38) =13875] // Denominator: IHME Global Burden of Disease (http://vizhub.healthdata.org/gbd-compare/) [w/ parameters: "Age plot" "cause of disease..." "Total (All cause)" "deaths" "Burkina Faso" "2010" "Both" "#s", add 28-364 day point estimate (56,650) to 1-4 year point estimate (35,869)]</t>
  </si>
  <si>
    <t>Numerator: IHME Global Burden of Disease (http://vizhub.healthdata.org/gbd-compare/) [w/ search parameters: "Age plot" "Cause of Disease …" "A.3.1. Malaria" "deaths" "Burkina Faso" "2010" "Both" "#s", adding 28-364 day point estimate (8,545.15) to 1-4 year point estimate (20,609.8) = 29155]] // Denominator: IHME Global Burden of Disease (http://vizhub.healthdata.org/gbd-compare/) [w/ parameters: "Age plot" "cause of disease..." "Total (All cause)" "deaths" "Burkina Faso" "2010" "Both" "#s", add 28-364 day point estimate (56,650) to 1-4 year point estimate (35,869)]</t>
  </si>
  <si>
    <t>Numerator: IHME Global Burden of Disease (http://vizhub.healthdata.org/gbd-compare/)[w/ search parameters: "Age plot" "Cause of Disease …" "A.2.1. Diarrheal diseases" "deaths" "Burkina Faso" "2010" "Both" "#s", adding 28-364 day point estimate (8700.19) to 1-4 year point estimate (9883.77) =18584] // Denominator: IHME Global Burden of Disease (http://vizhub.healthdata.org/gbd-compare/) [w/ parameters: "Age plot" "cause of disease..." "Total (All cause)" "deaths" "Burkina Faso" "2010" "Both" "#s", add 28-364 day point estimate (56,650) to 1-4 year point estimate (35,869)]</t>
  </si>
  <si>
    <t>Using private information, GiveWell's estimate implies that DMI's RCT will find a 3.2% reduction in all-cause mortality. Consider LSHTM expects to find 10 or 20% "The evaluation study is designed to detect a 20% reduction in all-cause, post-neonatal under-five child mortality during the last year of the intervention (as described in the original proposal)" (LSHTM DMI RCT draft midline results June 2014) "It is hypothesised that as a result of the scale and multi-pronged nature of the campaign, reductions of between 10% and 20% in child mortality will be achieved." (trial pre-registration: http://clinicaltrials.gov/show/NCT01517230). Note that one might expect a well-funded RCT to have a substantial likelihood of finding statistically significant results without knowing anything else about the RCT. That expectation alone might imply that DMI will find a greater reduction in all-cause mortality at endline than the reduction implied here. For example, an expectation that a well-funded RCT will find significant results half the time would imply an (otherwise totally uniformed) expectation of at least half the results needed for statistical significance (in this case, a 5-10% reduction in mortality). GiveWell has not adjusted our estimate to account for this possible expectation, arguably making this estimate conservative.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</si>
</sst>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0%"/>
    <numFmt numFmtId="166" formatCode="&quot;$&quot;#,##0"/>
    <numFmt numFmtId="167" formatCode="_(&quot;$&quot;* #,##0_);_(&quot;$&quot;* \(#,##0\);_(&quot;$&quot;* &quot;-&quot;??_);_(@_)"/>
    <numFmt numFmtId="168" formatCode="0.000%"/>
  </numFmts>
  <fonts count="15" x14ac:knownFonts="1">
    <font>
      <sz val="12"/>
      <color theme="1"/>
      <name val="Calibri"/>
      <family val="2"/>
      <scheme val="minor"/>
    </font>
    <font>
      <sz val="12"/>
      <color theme="1"/>
      <name val="Calibri"/>
      <family val="2"/>
      <scheme val="minor"/>
    </font>
    <font>
      <sz val="12"/>
      <color rgb="FF3F3F76"/>
      <name val="Calibri"/>
      <family val="2"/>
      <scheme val="minor"/>
    </font>
    <font>
      <b/>
      <sz val="12"/>
      <color rgb="FF3F3F3F"/>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i/>
      <sz val="12"/>
      <color theme="1"/>
      <name val="Calibri"/>
      <family val="2"/>
      <scheme val="minor"/>
    </font>
    <font>
      <sz val="12"/>
      <name val="Calibri"/>
      <family val="2"/>
      <scheme val="minor"/>
    </font>
    <font>
      <u/>
      <sz val="12"/>
      <color theme="1"/>
      <name val="Calibri"/>
      <family val="2"/>
      <scheme val="minor"/>
    </font>
    <font>
      <i/>
      <u/>
      <sz val="12"/>
      <color theme="1"/>
      <name val="Calibri"/>
      <family val="2"/>
      <scheme val="minor"/>
    </font>
    <font>
      <b/>
      <sz val="12"/>
      <name val="Calibri"/>
      <family val="2"/>
      <scheme val="minor"/>
    </font>
    <font>
      <b/>
      <u/>
      <sz val="12"/>
      <color theme="1"/>
      <name val="Calibri"/>
      <family val="2"/>
      <scheme val="minor"/>
    </font>
    <font>
      <i/>
      <sz val="12"/>
      <name val="Calibri"/>
      <family val="2"/>
      <scheme val="minor"/>
    </font>
    <font>
      <u/>
      <sz val="12"/>
      <name val="Calibri"/>
      <scheme val="minor"/>
    </font>
  </fonts>
  <fills count="7">
    <fill>
      <patternFill patternType="none"/>
    </fill>
    <fill>
      <patternFill patternType="gray125"/>
    </fill>
    <fill>
      <patternFill patternType="solid">
        <fgColor rgb="FFFFCC99"/>
      </patternFill>
    </fill>
    <fill>
      <patternFill patternType="solid">
        <fgColor rgb="FFF2F2F2"/>
      </patternFill>
    </fill>
    <fill>
      <patternFill patternType="solid">
        <fgColor theme="9"/>
        <bgColor indexed="64"/>
      </patternFill>
    </fill>
    <fill>
      <patternFill patternType="solid">
        <fgColor theme="9" tint="0.39997558519241921"/>
        <bgColor indexed="64"/>
      </patternFill>
    </fill>
    <fill>
      <patternFill patternType="solid">
        <fgColor theme="0"/>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rgb="FF7F7F7F"/>
      </right>
      <top style="thin">
        <color rgb="FF7F7F7F"/>
      </top>
      <bottom style="thin">
        <color rgb="FF7F7F7F"/>
      </bottom>
      <diagonal/>
    </border>
    <border>
      <left style="thin">
        <color rgb="FF7F7F7F"/>
      </left>
      <right style="medium">
        <color auto="1"/>
      </right>
      <top style="thin">
        <color rgb="FF7F7F7F"/>
      </top>
      <bottom style="thin">
        <color rgb="FF7F7F7F"/>
      </bottom>
      <diagonal/>
    </border>
    <border>
      <left style="medium">
        <color auto="1"/>
      </left>
      <right style="thin">
        <color rgb="FF7F7F7F"/>
      </right>
      <top style="thin">
        <color rgb="FF7F7F7F"/>
      </top>
      <bottom style="medium">
        <color auto="1"/>
      </bottom>
      <diagonal/>
    </border>
    <border>
      <left style="thin">
        <color rgb="FF7F7F7F"/>
      </left>
      <right style="thin">
        <color rgb="FF7F7F7F"/>
      </right>
      <top style="thin">
        <color rgb="FF7F7F7F"/>
      </top>
      <bottom style="medium">
        <color auto="1"/>
      </bottom>
      <diagonal/>
    </border>
    <border>
      <left/>
      <right style="medium">
        <color auto="1"/>
      </right>
      <top/>
      <bottom style="medium">
        <color auto="1"/>
      </bottom>
      <diagonal/>
    </border>
    <border>
      <left style="medium">
        <color auto="1"/>
      </left>
      <right style="thin">
        <color rgb="FF7F7F7F"/>
      </right>
      <top/>
      <bottom style="thin">
        <color rgb="FF7F7F7F"/>
      </bottom>
      <diagonal/>
    </border>
    <border>
      <left style="thin">
        <color rgb="FF7F7F7F"/>
      </left>
      <right style="thin">
        <color rgb="FF7F7F7F"/>
      </right>
      <top/>
      <bottom style="thin">
        <color rgb="FF7F7F7F"/>
      </bottom>
      <diagonal/>
    </border>
    <border>
      <left style="thin">
        <color auto="1"/>
      </left>
      <right style="thin">
        <color rgb="FF7F7F7F"/>
      </right>
      <top style="thin">
        <color auto="1"/>
      </top>
      <bottom style="thin">
        <color rgb="FF7F7F7F"/>
      </bottom>
      <diagonal/>
    </border>
    <border>
      <left style="thin">
        <color rgb="FF7F7F7F"/>
      </left>
      <right style="thin">
        <color rgb="FF7F7F7F"/>
      </right>
      <top style="thin">
        <color auto="1"/>
      </top>
      <bottom style="thin">
        <color rgb="FF7F7F7F"/>
      </bottom>
      <diagonal/>
    </border>
    <border>
      <left style="thin">
        <color rgb="FF7F7F7F"/>
      </left>
      <right style="medium">
        <color auto="1"/>
      </right>
      <top style="thin">
        <color auto="1"/>
      </top>
      <bottom style="thin">
        <color rgb="FF7F7F7F"/>
      </bottom>
      <diagonal/>
    </border>
    <border>
      <left style="thin">
        <color auto="1"/>
      </left>
      <right style="thin">
        <color rgb="FF7F7F7F"/>
      </right>
      <top style="thin">
        <color rgb="FF7F7F7F"/>
      </top>
      <bottom style="thin">
        <color rgb="FF7F7F7F"/>
      </bottom>
      <diagonal/>
    </border>
    <border>
      <left style="thin">
        <color auto="1"/>
      </left>
      <right style="thin">
        <color rgb="FF7F7F7F"/>
      </right>
      <top style="thin">
        <color rgb="FF7F7F7F"/>
      </top>
      <bottom style="thin">
        <color auto="1"/>
      </bottom>
      <diagonal/>
    </border>
    <border>
      <left style="thin">
        <color rgb="FF7F7F7F"/>
      </left>
      <right style="thin">
        <color rgb="FF7F7F7F"/>
      </right>
      <top style="thin">
        <color rgb="FF7F7F7F"/>
      </top>
      <bottom style="thin">
        <color auto="1"/>
      </bottom>
      <diagonal/>
    </border>
    <border>
      <left style="thin">
        <color rgb="FF7F7F7F"/>
      </left>
      <right style="medium">
        <color auto="1"/>
      </right>
      <top style="thin">
        <color rgb="FF7F7F7F"/>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rgb="FF7F7F7F"/>
      </top>
      <bottom style="medium">
        <color auto="1"/>
      </bottom>
      <diagonal/>
    </border>
    <border>
      <left style="medium">
        <color auto="1"/>
      </left>
      <right style="thin">
        <color auto="1"/>
      </right>
      <top style="thin">
        <color rgb="FF7F7F7F"/>
      </top>
      <bottom style="thin">
        <color rgb="FF7F7F7F"/>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s>
  <cellStyleXfs count="773">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23">
    <xf numFmtId="0" fontId="0" fillId="0" borderId="0" xfId="0"/>
    <xf numFmtId="0" fontId="4" fillId="0" borderId="0" xfId="0" applyFont="1"/>
    <xf numFmtId="9" fontId="0" fillId="0" borderId="0" xfId="0" applyNumberFormat="1"/>
    <xf numFmtId="165" fontId="0" fillId="0" borderId="0" xfId="2" applyNumberFormat="1" applyFont="1"/>
    <xf numFmtId="165" fontId="0" fillId="0" borderId="0" xfId="0" applyNumberFormat="1"/>
    <xf numFmtId="0" fontId="8" fillId="0" borderId="0" xfId="0" applyFont="1"/>
    <xf numFmtId="0" fontId="0" fillId="0" borderId="0" xfId="0" applyAlignment="1"/>
    <xf numFmtId="165" fontId="8" fillId="0" borderId="1" xfId="2" applyNumberFormat="1" applyFont="1" applyFill="1" applyBorder="1"/>
    <xf numFmtId="0" fontId="4" fillId="0" borderId="3" xfId="0" applyFont="1" applyBorder="1"/>
    <xf numFmtId="0" fontId="0" fillId="0" borderId="4" xfId="0" applyBorder="1" applyAlignment="1"/>
    <xf numFmtId="0" fontId="0" fillId="0" borderId="5" xfId="0" applyBorder="1" applyAlignment="1"/>
    <xf numFmtId="165" fontId="8" fillId="0" borderId="8" xfId="2" applyNumberFormat="1" applyFont="1" applyFill="1" applyBorder="1"/>
    <xf numFmtId="165" fontId="8" fillId="0" borderId="9" xfId="2" applyNumberFormat="1" applyFont="1" applyFill="1" applyBorder="1"/>
    <xf numFmtId="165" fontId="8" fillId="0" borderId="10" xfId="2" applyNumberFormat="1" applyFont="1" applyFill="1" applyBorder="1"/>
    <xf numFmtId="165" fontId="8" fillId="0" borderId="11" xfId="2" applyNumberFormat="1" applyFont="1" applyFill="1" applyBorder="1"/>
    <xf numFmtId="0" fontId="9" fillId="0" borderId="6" xfId="0" applyFont="1" applyBorder="1" applyAlignment="1">
      <alignment horizontal="left"/>
    </xf>
    <xf numFmtId="0" fontId="9" fillId="0" borderId="0" xfId="0" applyFont="1" applyBorder="1" applyAlignment="1">
      <alignment horizontal="left"/>
    </xf>
    <xf numFmtId="0" fontId="9" fillId="0" borderId="7" xfId="0" applyFont="1" applyBorder="1" applyAlignment="1">
      <alignment horizontal="left"/>
    </xf>
    <xf numFmtId="0" fontId="0" fillId="0" borderId="6" xfId="0" applyFont="1" applyBorder="1" applyAlignment="1"/>
    <xf numFmtId="0" fontId="0" fillId="0" borderId="0" xfId="0" applyFont="1" applyBorder="1" applyAlignment="1"/>
    <xf numFmtId="0" fontId="0" fillId="0" borderId="7" xfId="0" applyFont="1" applyBorder="1" applyAlignment="1"/>
    <xf numFmtId="0" fontId="7" fillId="0" borderId="6" xfId="0" applyFont="1" applyBorder="1" applyAlignment="1">
      <alignment horizontal="left"/>
    </xf>
    <xf numFmtId="0" fontId="10" fillId="0" borderId="0" xfId="0" applyFont="1" applyBorder="1" applyAlignment="1">
      <alignment horizontal="left"/>
    </xf>
    <xf numFmtId="0" fontId="10" fillId="0" borderId="7" xfId="0" applyFont="1" applyBorder="1" applyAlignment="1">
      <alignment horizontal="left"/>
    </xf>
    <xf numFmtId="165" fontId="8" fillId="0" borderId="12" xfId="2" applyNumberFormat="1" applyFont="1" applyFill="1" applyBorder="1"/>
    <xf numFmtId="0" fontId="11" fillId="0" borderId="0" xfId="0" applyFont="1" applyAlignment="1"/>
    <xf numFmtId="0" fontId="8" fillId="0" borderId="0" xfId="0" applyFont="1" applyAlignment="1"/>
    <xf numFmtId="167" fontId="11" fillId="0" borderId="0" xfId="0" applyNumberFormat="1" applyFont="1" applyAlignment="1"/>
    <xf numFmtId="0" fontId="11" fillId="0" borderId="0" xfId="0" applyFont="1" applyAlignment="1">
      <alignment horizontal="right"/>
    </xf>
    <xf numFmtId="0" fontId="8" fillId="0" borderId="0" xfId="0" applyFont="1" applyAlignment="1">
      <alignment horizontal="right"/>
    </xf>
    <xf numFmtId="9" fontId="8" fillId="0" borderId="0" xfId="2" applyFont="1" applyAlignment="1">
      <alignment horizontal="right"/>
    </xf>
    <xf numFmtId="166" fontId="11" fillId="3" borderId="2" xfId="4" applyNumberFormat="1" applyFont="1" applyAlignment="1">
      <alignment horizontal="right"/>
    </xf>
    <xf numFmtId="0" fontId="8" fillId="2" borderId="1" xfId="3" applyNumberFormat="1" applyFont="1" applyAlignment="1">
      <alignment horizontal="right"/>
    </xf>
    <xf numFmtId="2" fontId="8" fillId="0" borderId="0" xfId="0" applyNumberFormat="1" applyFont="1" applyAlignment="1">
      <alignment horizontal="right"/>
    </xf>
    <xf numFmtId="9" fontId="8" fillId="2" borderId="1" xfId="3" applyNumberFormat="1" applyFont="1"/>
    <xf numFmtId="0" fontId="9" fillId="0" borderId="0" xfId="0" applyFont="1"/>
    <xf numFmtId="0" fontId="7" fillId="0" borderId="0" xfId="0" applyFont="1" applyAlignment="1">
      <alignment horizontal="right"/>
    </xf>
    <xf numFmtId="165" fontId="8" fillId="0" borderId="0" xfId="3" applyNumberFormat="1" applyFont="1" applyFill="1" applyBorder="1" applyAlignment="1">
      <alignment horizontal="right"/>
    </xf>
    <xf numFmtId="9" fontId="8" fillId="0" borderId="0" xfId="2" applyFont="1" applyFill="1" applyBorder="1" applyAlignment="1"/>
    <xf numFmtId="0" fontId="8" fillId="0" borderId="0" xfId="0" applyFont="1" applyFill="1" applyBorder="1"/>
    <xf numFmtId="0" fontId="11" fillId="0" borderId="0" xfId="0" applyFont="1" applyFill="1" applyBorder="1" applyAlignment="1"/>
    <xf numFmtId="0" fontId="8" fillId="0" borderId="0" xfId="0" applyFont="1" applyFill="1" applyBorder="1" applyAlignment="1"/>
    <xf numFmtId="0" fontId="11" fillId="0" borderId="0" xfId="0" applyFont="1" applyFill="1" applyBorder="1"/>
    <xf numFmtId="9" fontId="8" fillId="0" borderId="0" xfId="3" applyNumberFormat="1" applyFont="1" applyFill="1" applyBorder="1"/>
    <xf numFmtId="9" fontId="8" fillId="0" borderId="0" xfId="0" applyNumberFormat="1" applyFont="1" applyFill="1" applyBorder="1"/>
    <xf numFmtId="165" fontId="8" fillId="0" borderId="0" xfId="3" applyNumberFormat="1" applyFont="1" applyFill="1" applyBorder="1"/>
    <xf numFmtId="9" fontId="8" fillId="0" borderId="0" xfId="2" applyFont="1" applyFill="1" applyBorder="1"/>
    <xf numFmtId="168" fontId="8" fillId="0" borderId="0" xfId="2" applyNumberFormat="1" applyFont="1" applyFill="1" applyBorder="1"/>
    <xf numFmtId="166" fontId="8" fillId="0" borderId="0" xfId="3" applyNumberFormat="1" applyFont="1" applyFill="1" applyBorder="1"/>
    <xf numFmtId="0" fontId="8" fillId="0" borderId="0" xfId="0" applyFont="1" applyBorder="1" applyAlignment="1">
      <alignment horizontal="right"/>
    </xf>
    <xf numFmtId="9" fontId="8" fillId="2" borderId="0" xfId="3" applyNumberFormat="1" applyFont="1" applyBorder="1" applyAlignment="1">
      <alignment horizontal="right"/>
    </xf>
    <xf numFmtId="9" fontId="8" fillId="0" borderId="0" xfId="0" applyNumberFormat="1" applyFont="1" applyBorder="1" applyAlignment="1">
      <alignment horizontal="right"/>
    </xf>
    <xf numFmtId="9" fontId="8" fillId="4" borderId="0" xfId="3" applyNumberFormat="1" applyFont="1" applyFill="1" applyBorder="1" applyAlignment="1">
      <alignment horizontal="right"/>
    </xf>
    <xf numFmtId="0" fontId="8" fillId="5" borderId="0" xfId="0" applyFont="1" applyFill="1" applyBorder="1" applyAlignment="1">
      <alignment horizontal="right"/>
    </xf>
    <xf numFmtId="9" fontId="8" fillId="0" borderId="0" xfId="2" applyFont="1" applyBorder="1" applyAlignment="1">
      <alignment horizontal="right"/>
    </xf>
    <xf numFmtId="165" fontId="8" fillId="0" borderId="0" xfId="0" applyNumberFormat="1" applyFont="1" applyBorder="1" applyAlignment="1">
      <alignment horizontal="right"/>
    </xf>
    <xf numFmtId="165" fontId="8" fillId="0" borderId="0" xfId="2" applyNumberFormat="1" applyFont="1" applyBorder="1" applyAlignment="1">
      <alignment horizontal="right"/>
    </xf>
    <xf numFmtId="165" fontId="8" fillId="2" borderId="0" xfId="3" applyNumberFormat="1" applyFont="1" applyBorder="1" applyAlignment="1">
      <alignment horizontal="right"/>
    </xf>
    <xf numFmtId="9" fontId="8" fillId="3" borderId="0" xfId="4" applyNumberFormat="1" applyFont="1" applyBorder="1" applyAlignment="1">
      <alignment horizontal="right"/>
    </xf>
    <xf numFmtId="168" fontId="8" fillId="0" borderId="0" xfId="2" applyNumberFormat="1" applyFont="1" applyBorder="1" applyAlignment="1">
      <alignment horizontal="right"/>
    </xf>
    <xf numFmtId="3" fontId="8" fillId="2" borderId="0" xfId="3" applyNumberFormat="1" applyFont="1" applyBorder="1" applyAlignment="1">
      <alignment horizontal="right"/>
    </xf>
    <xf numFmtId="166" fontId="8" fillId="2" borderId="0" xfId="3" applyNumberFormat="1" applyFont="1" applyBorder="1" applyAlignment="1">
      <alignment horizontal="right"/>
    </xf>
    <xf numFmtId="164" fontId="8" fillId="0" borderId="0" xfId="1" applyNumberFormat="1" applyFont="1" applyBorder="1" applyAlignment="1">
      <alignment horizontal="right"/>
    </xf>
    <xf numFmtId="0" fontId="8" fillId="0" borderId="0" xfId="0" applyFont="1" applyFill="1"/>
    <xf numFmtId="0" fontId="12" fillId="0" borderId="0" xfId="0" applyFont="1" applyAlignment="1"/>
    <xf numFmtId="0" fontId="8" fillId="4" borderId="0" xfId="0" applyFont="1" applyFill="1" applyAlignment="1">
      <alignment horizontal="left"/>
    </xf>
    <xf numFmtId="9" fontId="13" fillId="0" borderId="0" xfId="2" applyFont="1" applyFill="1"/>
    <xf numFmtId="165" fontId="8" fillId="0" borderId="0" xfId="0" applyNumberFormat="1" applyFont="1"/>
    <xf numFmtId="9" fontId="8" fillId="2" borderId="1" xfId="3" applyNumberFormat="1" applyFont="1" applyAlignment="1"/>
    <xf numFmtId="9" fontId="11" fillId="0" borderId="0" xfId="2" applyFont="1" applyFill="1" applyAlignment="1">
      <alignment horizontal="right"/>
    </xf>
    <xf numFmtId="9" fontId="11" fillId="0" borderId="0" xfId="2" applyFont="1" applyFill="1"/>
    <xf numFmtId="9" fontId="8" fillId="0" borderId="0" xfId="2" applyFont="1" applyFill="1" applyAlignment="1"/>
    <xf numFmtId="0" fontId="8" fillId="0" borderId="0" xfId="0" applyFont="1" applyBorder="1" applyAlignment="1">
      <alignment horizontal="center" vertical="top"/>
    </xf>
    <xf numFmtId="9" fontId="8" fillId="0" borderId="0" xfId="0" applyNumberFormat="1" applyFont="1" applyFill="1" applyAlignment="1"/>
    <xf numFmtId="165" fontId="8" fillId="0" borderId="0" xfId="2" applyNumberFormat="1" applyFont="1" applyFill="1" applyAlignment="1"/>
    <xf numFmtId="165" fontId="8" fillId="0" borderId="0" xfId="2" applyNumberFormat="1" applyFont="1"/>
    <xf numFmtId="9" fontId="8" fillId="6" borderId="0" xfId="2" applyFont="1" applyFill="1" applyAlignment="1"/>
    <xf numFmtId="9" fontId="13" fillId="6" borderId="0" xfId="2" applyFont="1" applyFill="1"/>
    <xf numFmtId="0" fontId="8" fillId="6" borderId="0" xfId="0" applyFont="1" applyFill="1"/>
    <xf numFmtId="9" fontId="8" fillId="6" borderId="0" xfId="0" applyNumberFormat="1" applyFont="1" applyFill="1" applyAlignment="1"/>
    <xf numFmtId="165" fontId="8" fillId="6" borderId="0" xfId="0" applyNumberFormat="1" applyFont="1" applyFill="1"/>
    <xf numFmtId="165" fontId="8" fillId="6" borderId="0" xfId="2" applyNumberFormat="1" applyFont="1" applyFill="1" applyAlignment="1"/>
    <xf numFmtId="9" fontId="13" fillId="6" borderId="0" xfId="2" applyFont="1" applyFill="1" applyAlignment="1"/>
    <xf numFmtId="166" fontId="8" fillId="6" borderId="0" xfId="3" applyNumberFormat="1" applyFont="1" applyFill="1" applyBorder="1"/>
    <xf numFmtId="0" fontId="4" fillId="0" borderId="0" xfId="0" applyFont="1" applyAlignment="1"/>
    <xf numFmtId="0" fontId="4" fillId="0" borderId="5" xfId="0" applyFont="1" applyBorder="1" applyAlignment="1"/>
    <xf numFmtId="165" fontId="8" fillId="0" borderId="13" xfId="2" applyNumberFormat="1" applyFont="1" applyFill="1" applyBorder="1"/>
    <xf numFmtId="165" fontId="8" fillId="0" borderId="14" xfId="2" applyNumberFormat="1" applyFont="1" applyFill="1" applyBorder="1"/>
    <xf numFmtId="165" fontId="8" fillId="0" borderId="7" xfId="2" applyNumberFormat="1" applyFont="1" applyFill="1" applyBorder="1"/>
    <xf numFmtId="165" fontId="8" fillId="0" borderId="15" xfId="2" applyNumberFormat="1" applyFont="1" applyFill="1" applyBorder="1"/>
    <xf numFmtId="165" fontId="8" fillId="0" borderId="16" xfId="2" applyNumberFormat="1" applyFont="1" applyFill="1" applyBorder="1"/>
    <xf numFmtId="165" fontId="8" fillId="0" borderId="17" xfId="2" applyNumberFormat="1" applyFont="1" applyFill="1" applyBorder="1"/>
    <xf numFmtId="165" fontId="8" fillId="0" borderId="18" xfId="2" applyNumberFormat="1" applyFont="1" applyFill="1" applyBorder="1"/>
    <xf numFmtId="165" fontId="8" fillId="0" borderId="19" xfId="2" applyNumberFormat="1" applyFont="1" applyFill="1" applyBorder="1"/>
    <xf numFmtId="165" fontId="8" fillId="0" borderId="20" xfId="2" applyNumberFormat="1" applyFont="1" applyFill="1" applyBorder="1"/>
    <xf numFmtId="165" fontId="8" fillId="0" borderId="21" xfId="2" applyNumberFormat="1" applyFont="1" applyFill="1" applyBorder="1"/>
    <xf numFmtId="0" fontId="0" fillId="0" borderId="0" xfId="0" applyBorder="1"/>
    <xf numFmtId="0" fontId="8" fillId="0" borderId="0" xfId="0" applyFont="1" applyBorder="1"/>
    <xf numFmtId="0" fontId="8" fillId="0" borderId="0" xfId="0" applyFont="1" applyBorder="1" applyAlignment="1"/>
    <xf numFmtId="0" fontId="11" fillId="0" borderId="0" xfId="0" applyFont="1" applyBorder="1" applyAlignment="1"/>
    <xf numFmtId="9" fontId="8" fillId="6" borderId="0" xfId="2" applyFont="1" applyFill="1" applyBorder="1" applyAlignment="1"/>
    <xf numFmtId="0" fontId="8" fillId="6" borderId="0" xfId="0" applyFont="1" applyFill="1" applyBorder="1"/>
    <xf numFmtId="0" fontId="8" fillId="0" borderId="0" xfId="0" applyFont="1" applyBorder="1" applyAlignment="1">
      <alignment horizontal="left" vertical="top"/>
    </xf>
    <xf numFmtId="9" fontId="8" fillId="6" borderId="0" xfId="0" applyNumberFormat="1" applyFont="1" applyFill="1" applyBorder="1"/>
    <xf numFmtId="0" fontId="8" fillId="0" borderId="0" xfId="0" quotePrefix="1" applyFont="1" applyBorder="1"/>
    <xf numFmtId="165" fontId="8" fillId="0" borderId="0" xfId="0" applyNumberFormat="1" applyFont="1" applyFill="1" applyBorder="1"/>
    <xf numFmtId="0" fontId="13" fillId="0" borderId="0" xfId="0" applyFont="1" applyBorder="1"/>
    <xf numFmtId="165" fontId="13" fillId="0" borderId="0" xfId="0" applyNumberFormat="1" applyFont="1" applyBorder="1"/>
    <xf numFmtId="165" fontId="8" fillId="0" borderId="0" xfId="0" applyNumberFormat="1" applyFont="1" applyBorder="1"/>
    <xf numFmtId="0" fontId="8" fillId="0" borderId="0" xfId="0" quotePrefix="1" applyFont="1" applyFill="1" applyBorder="1"/>
    <xf numFmtId="165" fontId="8" fillId="0" borderId="0" xfId="2" applyNumberFormat="1" applyFont="1" applyBorder="1"/>
    <xf numFmtId="165" fontId="8" fillId="6" borderId="0" xfId="0" applyNumberFormat="1" applyFont="1" applyFill="1" applyBorder="1"/>
    <xf numFmtId="10" fontId="8" fillId="0" borderId="0" xfId="0" applyNumberFormat="1" applyFont="1" applyBorder="1"/>
    <xf numFmtId="165" fontId="11" fillId="0" borderId="0" xfId="0" applyNumberFormat="1" applyFont="1"/>
    <xf numFmtId="165" fontId="8" fillId="0" borderId="22" xfId="2" applyNumberFormat="1" applyFont="1" applyBorder="1" applyAlignment="1">
      <alignment horizontal="right"/>
    </xf>
    <xf numFmtId="165" fontId="11" fillId="0" borderId="22" xfId="2" applyNumberFormat="1" applyFont="1" applyBorder="1" applyAlignment="1">
      <alignment horizontal="right"/>
    </xf>
    <xf numFmtId="165" fontId="14" fillId="0" borderId="0" xfId="0" applyNumberFormat="1" applyFont="1"/>
    <xf numFmtId="165" fontId="8" fillId="0" borderId="24" xfId="2" applyNumberFormat="1" applyFont="1" applyFill="1" applyBorder="1"/>
    <xf numFmtId="165" fontId="8" fillId="0" borderId="23" xfId="2" applyNumberFormat="1" applyFont="1" applyFill="1" applyBorder="1"/>
    <xf numFmtId="165" fontId="8" fillId="0" borderId="25" xfId="2" applyNumberFormat="1" applyFont="1" applyFill="1" applyBorder="1"/>
    <xf numFmtId="165" fontId="8" fillId="0" borderId="26" xfId="2" applyNumberFormat="1" applyFont="1" applyFill="1" applyBorder="1"/>
    <xf numFmtId="165" fontId="8" fillId="0" borderId="27" xfId="2" applyNumberFormat="1" applyFont="1" applyFill="1" applyBorder="1"/>
    <xf numFmtId="9" fontId="11" fillId="0" borderId="0" xfId="2" applyFont="1" applyFill="1" applyBorder="1"/>
  </cellXfs>
  <cellStyles count="773">
    <cellStyle name="Comma" xfId="1" builtinId="3"/>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Input" xfId="3" builtinId="20"/>
    <cellStyle name="Normal" xfId="0" builtinId="0"/>
    <cellStyle name="Output" xfId="4" builtinId="21"/>
    <cellStyle name="Percent" xfId="2"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I126"/>
  <sheetViews>
    <sheetView tabSelected="1" zoomScale="85" zoomScaleNormal="85" zoomScalePageLayoutView="85" workbookViewId="0">
      <pane xSplit="4" ySplit="6" topLeftCell="E46" activePane="bottomRight" state="frozen"/>
      <selection activeCell="C42" sqref="C42"/>
      <selection pane="topRight" activeCell="C42" sqref="C42"/>
      <selection pane="bottomLeft" activeCell="C42" sqref="C42"/>
      <selection pane="bottomRight" activeCell="F52" sqref="F52"/>
    </sheetView>
  </sheetViews>
  <sheetFormatPr baseColWidth="10" defaultColWidth="11.1640625" defaultRowHeight="15" outlineLevelRow="2" x14ac:dyDescent="0"/>
  <cols>
    <col min="1" max="2" width="4.5" style="5" customWidth="1"/>
    <col min="3" max="3" width="81.5" style="71" customWidth="1"/>
    <col min="4" max="4" width="20.5" style="5" bestFit="1" customWidth="1"/>
    <col min="5" max="5" width="14.33203125" style="39" customWidth="1"/>
    <col min="6" max="6" width="45.1640625" style="97" customWidth="1"/>
    <col min="7" max="7" width="25.6640625" style="5" bestFit="1" customWidth="1"/>
    <col min="8" max="8" width="14.33203125" style="39" customWidth="1"/>
    <col min="9" max="9" width="33.1640625" style="97" customWidth="1"/>
  </cols>
  <sheetData>
    <row r="1" spans="1:9">
      <c r="A1" s="76" t="s">
        <v>180</v>
      </c>
      <c r="B1" s="76"/>
      <c r="C1" s="76"/>
      <c r="H1" s="38"/>
    </row>
    <row r="2" spans="1:9">
      <c r="A2" s="34" t="s">
        <v>54</v>
      </c>
      <c r="B2" s="34"/>
      <c r="C2" s="68"/>
      <c r="E2" s="38"/>
      <c r="H2" s="38"/>
    </row>
    <row r="3" spans="1:9">
      <c r="A3" s="65" t="s">
        <v>55</v>
      </c>
      <c r="B3" s="65"/>
      <c r="C3" s="65"/>
      <c r="G3" s="5" t="s">
        <v>171</v>
      </c>
    </row>
    <row r="4" spans="1:9" s="6" customFormat="1">
      <c r="A4" s="71"/>
      <c r="B4" s="71"/>
      <c r="C4" s="69" t="s">
        <v>4</v>
      </c>
      <c r="D4" s="27">
        <f ca="1">D122</f>
        <v>12042.662733830217</v>
      </c>
      <c r="E4" s="40" t="s">
        <v>188</v>
      </c>
      <c r="F4" s="98"/>
      <c r="G4" s="25"/>
      <c r="H4" s="40"/>
      <c r="I4" s="98"/>
    </row>
    <row r="5" spans="1:9" s="6" customFormat="1" ht="15" customHeight="1">
      <c r="A5" s="26"/>
      <c r="B5" s="26"/>
      <c r="E5" s="6" t="s">
        <v>187</v>
      </c>
      <c r="F5" s="98"/>
      <c r="G5" s="27">
        <f ca="1">G122</f>
        <v>1304.3080235362747</v>
      </c>
      <c r="H5" s="41"/>
      <c r="I5" s="98"/>
    </row>
    <row r="6" spans="1:9" s="6" customFormat="1">
      <c r="A6" s="25" t="s">
        <v>168</v>
      </c>
      <c r="B6" s="25"/>
      <c r="C6" s="84" t="s">
        <v>169</v>
      </c>
      <c r="E6" s="25" t="s">
        <v>47</v>
      </c>
      <c r="F6" s="99" t="s">
        <v>48</v>
      </c>
      <c r="H6" s="25" t="s">
        <v>47</v>
      </c>
      <c r="I6" s="99" t="s">
        <v>48</v>
      </c>
    </row>
    <row r="7" spans="1:9">
      <c r="A7" s="70" t="s">
        <v>43</v>
      </c>
      <c r="D7" s="28"/>
      <c r="E7" s="42"/>
      <c r="G7" s="28"/>
      <c r="H7" s="42"/>
    </row>
    <row r="8" spans="1:9" outlineLevel="1">
      <c r="B8" s="66" t="s">
        <v>46</v>
      </c>
      <c r="D8" s="49"/>
      <c r="G8" s="49"/>
    </row>
    <row r="9" spans="1:9" outlineLevel="2">
      <c r="C9" s="71" t="s">
        <v>91</v>
      </c>
      <c r="D9" s="50">
        <v>0.51</v>
      </c>
      <c r="E9" s="63" t="s">
        <v>153</v>
      </c>
      <c r="F9" s="100" t="s">
        <v>93</v>
      </c>
      <c r="G9" s="50">
        <f>D9</f>
        <v>0.51</v>
      </c>
      <c r="H9" s="63" t="s">
        <v>153</v>
      </c>
      <c r="I9" s="100" t="s">
        <v>93</v>
      </c>
    </row>
    <row r="10" spans="1:9" outlineLevel="2">
      <c r="C10" s="71" t="s">
        <v>94</v>
      </c>
      <c r="D10" s="50">
        <f>0.88-0.28</f>
        <v>0.6</v>
      </c>
      <c r="E10" s="43" t="s">
        <v>154</v>
      </c>
      <c r="F10" s="101" t="s">
        <v>159</v>
      </c>
      <c r="G10" s="50">
        <f>D10</f>
        <v>0.6</v>
      </c>
      <c r="H10" s="43" t="s">
        <v>154</v>
      </c>
      <c r="I10" s="101" t="s">
        <v>159</v>
      </c>
    </row>
    <row r="11" spans="1:9" outlineLevel="2">
      <c r="C11" s="71" t="s">
        <v>139</v>
      </c>
      <c r="D11" s="51">
        <f>D9*D10</f>
        <v>0.30599999999999999</v>
      </c>
      <c r="E11" s="44" t="s">
        <v>50</v>
      </c>
      <c r="F11" s="97" t="s">
        <v>155</v>
      </c>
      <c r="G11" s="51">
        <f>G9*G10</f>
        <v>0.30599999999999999</v>
      </c>
      <c r="H11" s="44" t="s">
        <v>50</v>
      </c>
      <c r="I11" s="97" t="s">
        <v>155</v>
      </c>
    </row>
    <row r="12" spans="1:9" outlineLevel="1">
      <c r="B12" s="66" t="s">
        <v>102</v>
      </c>
      <c r="D12" s="49"/>
      <c r="G12" s="49"/>
    </row>
    <row r="13" spans="1:9" outlineLevel="2">
      <c r="C13" s="71" t="s">
        <v>92</v>
      </c>
      <c r="D13" s="50">
        <v>0.315</v>
      </c>
      <c r="E13" s="43" t="s">
        <v>14</v>
      </c>
      <c r="F13" s="97" t="s">
        <v>49</v>
      </c>
      <c r="G13" s="50">
        <f>G9</f>
        <v>0.51</v>
      </c>
      <c r="H13" s="63" t="s">
        <v>153</v>
      </c>
      <c r="I13" s="97" t="s">
        <v>49</v>
      </c>
    </row>
    <row r="14" spans="1:9" outlineLevel="2">
      <c r="C14" s="71" t="s">
        <v>95</v>
      </c>
      <c r="D14" s="50">
        <f>D10</f>
        <v>0.6</v>
      </c>
      <c r="E14" s="43" t="s">
        <v>51</v>
      </c>
      <c r="F14" s="101" t="s">
        <v>158</v>
      </c>
      <c r="G14" s="50">
        <f>D14</f>
        <v>0.6</v>
      </c>
      <c r="H14" s="43" t="s">
        <v>51</v>
      </c>
      <c r="I14" s="101" t="s">
        <v>158</v>
      </c>
    </row>
    <row r="15" spans="1:9" outlineLevel="2">
      <c r="C15" s="71" t="s">
        <v>96</v>
      </c>
      <c r="D15" s="51">
        <f>D13*D14</f>
        <v>0.189</v>
      </c>
      <c r="E15" s="44" t="s">
        <v>50</v>
      </c>
      <c r="F15" s="97" t="s">
        <v>49</v>
      </c>
      <c r="G15" s="51">
        <f>G13*G14</f>
        <v>0.30599999999999999</v>
      </c>
      <c r="H15" s="44" t="s">
        <v>50</v>
      </c>
      <c r="I15" s="97" t="s">
        <v>49</v>
      </c>
    </row>
    <row r="16" spans="1:9" outlineLevel="1">
      <c r="B16" s="77" t="s">
        <v>90</v>
      </c>
      <c r="C16" s="76"/>
      <c r="D16" s="49"/>
      <c r="G16" s="49"/>
    </row>
    <row r="17" spans="1:9" outlineLevel="2">
      <c r="B17" s="78"/>
      <c r="C17" s="76" t="s">
        <v>104</v>
      </c>
      <c r="D17" s="51">
        <f>D15/D11</f>
        <v>0.61764705882352944</v>
      </c>
      <c r="E17" s="43" t="s">
        <v>50</v>
      </c>
      <c r="F17" s="101" t="s">
        <v>105</v>
      </c>
      <c r="G17" s="51">
        <f>G15/G11</f>
        <v>1</v>
      </c>
      <c r="H17" s="43" t="s">
        <v>50</v>
      </c>
      <c r="I17" s="101" t="s">
        <v>105</v>
      </c>
    </row>
    <row r="18" spans="1:9">
      <c r="A18" s="70" t="s">
        <v>56</v>
      </c>
      <c r="B18" s="66"/>
      <c r="D18" s="51"/>
      <c r="E18" s="44"/>
      <c r="G18" s="51"/>
      <c r="H18" s="44"/>
    </row>
    <row r="19" spans="1:9" outlineLevel="1">
      <c r="B19" s="66" t="s">
        <v>40</v>
      </c>
      <c r="D19" s="49"/>
      <c r="F19" s="97" t="s">
        <v>137</v>
      </c>
      <c r="G19" s="49"/>
      <c r="I19" s="97" t="s">
        <v>137</v>
      </c>
    </row>
    <row r="20" spans="1:9" outlineLevel="2">
      <c r="B20" s="66"/>
      <c r="C20" s="76" t="s">
        <v>45</v>
      </c>
      <c r="D20" s="53" t="s">
        <v>35</v>
      </c>
      <c r="E20" s="43" t="s">
        <v>52</v>
      </c>
      <c r="F20" s="39" t="s">
        <v>140</v>
      </c>
      <c r="G20" s="53" t="str">
        <f>D20</f>
        <v>RCT Results</v>
      </c>
      <c r="H20" s="43" t="s">
        <v>52</v>
      </c>
      <c r="I20" s="39" t="s">
        <v>140</v>
      </c>
    </row>
    <row r="21" spans="1:9" outlineLevel="2">
      <c r="B21" s="66"/>
      <c r="C21" s="71" t="s">
        <v>41</v>
      </c>
      <c r="D21" s="53" t="s">
        <v>32</v>
      </c>
      <c r="E21" s="43" t="s">
        <v>52</v>
      </c>
      <c r="F21" s="101" t="s">
        <v>143</v>
      </c>
      <c r="G21" s="53" t="str">
        <f>D21</f>
        <v>Received</v>
      </c>
      <c r="H21" s="43" t="s">
        <v>52</v>
      </c>
      <c r="I21" s="101" t="s">
        <v>143</v>
      </c>
    </row>
    <row r="22" spans="1:9" outlineLevel="2">
      <c r="B22" s="66"/>
      <c r="C22" s="71" t="s">
        <v>42</v>
      </c>
      <c r="D22" s="53" t="s">
        <v>31</v>
      </c>
      <c r="E22" s="43" t="s">
        <v>52</v>
      </c>
      <c r="F22" s="39" t="s">
        <v>141</v>
      </c>
      <c r="G22" s="53" t="str">
        <f>D22</f>
        <v>Adjusted</v>
      </c>
      <c r="H22" s="43" t="s">
        <v>52</v>
      </c>
      <c r="I22" s="39" t="s">
        <v>141</v>
      </c>
    </row>
    <row r="23" spans="1:9" outlineLevel="1">
      <c r="B23" s="66" t="s">
        <v>61</v>
      </c>
      <c r="D23" s="49"/>
      <c r="F23" s="72"/>
      <c r="G23" s="49"/>
      <c r="I23" s="72"/>
    </row>
    <row r="24" spans="1:9" outlineLevel="2">
      <c r="C24" s="71" t="s">
        <v>37</v>
      </c>
      <c r="D24" s="37">
        <f ca="1">IF(D$20="Custom",'Additional Inputs'!$F8,OFFSET('Additional Inputs'!$A8,0,MATCH(D$20&amp;D$21&amp;D$22,'Additional Inputs'!$B$7:$E$7,0)))</f>
        <v>0.27529824561403504</v>
      </c>
      <c r="E24" s="45" t="s">
        <v>57</v>
      </c>
      <c r="F24" s="102" t="s">
        <v>53</v>
      </c>
      <c r="G24" s="37">
        <f ca="1">IF(G$20="Custom",'Additional Inputs'!$F8,OFFSET('Additional Inputs'!$A8,0,MATCH(G$20&amp;G$21&amp;G$22,'Additional Inputs'!$B$7:$E$7,0)))</f>
        <v>0.27529824561403504</v>
      </c>
      <c r="H24" s="45" t="s">
        <v>57</v>
      </c>
      <c r="I24" s="102" t="s">
        <v>53</v>
      </c>
    </row>
    <row r="25" spans="1:9" outlineLevel="2">
      <c r="C25" s="71" t="s">
        <v>38</v>
      </c>
      <c r="D25" s="37">
        <f ca="1">IF(D$20="Custom",'Additional Inputs'!$F9,OFFSET('Additional Inputs'!$A9,0,MATCH(D$20&amp;D$21&amp;D$22,'Additional Inputs'!$B$7:$E$7,0)))</f>
        <v>0.17113973799126639</v>
      </c>
      <c r="E25" s="45" t="s">
        <v>57</v>
      </c>
      <c r="F25" s="102" t="s">
        <v>29</v>
      </c>
      <c r="G25" s="37">
        <f ca="1">IF(G$20="Custom",'Additional Inputs'!$F9,OFFSET('Additional Inputs'!$A9,0,MATCH(G$20&amp;G$21&amp;G$22,'Additional Inputs'!$B$7:$E$7,0)))</f>
        <v>0.17113973799126639</v>
      </c>
      <c r="H25" s="45" t="s">
        <v>57</v>
      </c>
      <c r="I25" s="102" t="s">
        <v>29</v>
      </c>
    </row>
    <row r="26" spans="1:9" outlineLevel="2">
      <c r="C26" s="71" t="s">
        <v>39</v>
      </c>
      <c r="D26" s="37">
        <f ca="1">IF(D$20="Custom",'Additional Inputs'!$F10,OFFSET('Additional Inputs'!$A10,0,MATCH(D$20&amp;D$21&amp;D$22,'Additional Inputs'!$B$7:$E$7,0)))</f>
        <v>0.21852416356877324</v>
      </c>
      <c r="E26" s="45" t="s">
        <v>57</v>
      </c>
      <c r="F26" s="102" t="s">
        <v>29</v>
      </c>
      <c r="G26" s="37">
        <f ca="1">IF(G$20="Custom",'Additional Inputs'!$F10,OFFSET('Additional Inputs'!$A10,0,MATCH(G$20&amp;G$21&amp;G$22,'Additional Inputs'!$B$7:$E$7,0)))</f>
        <v>0.21852416356877324</v>
      </c>
      <c r="H26" s="45" t="s">
        <v>57</v>
      </c>
      <c r="I26" s="102" t="s">
        <v>29</v>
      </c>
    </row>
    <row r="27" spans="1:9" ht="17" customHeight="1" outlineLevel="2">
      <c r="C27" s="71" t="s">
        <v>58</v>
      </c>
      <c r="D27" s="37">
        <f ca="1">IF(D$20="Custom",'Additional Inputs'!$F11,OFFSET('Additional Inputs'!$A11,0,MATCH(D$20&amp;D$21&amp;D$22,'Additional Inputs'!$B$7:$E$7,0)))</f>
        <v>0.14799999999999999</v>
      </c>
      <c r="E27" s="45" t="s">
        <v>57</v>
      </c>
      <c r="F27" s="102" t="s">
        <v>29</v>
      </c>
      <c r="G27" s="37">
        <f ca="1">IF(G$20="Custom",'Additional Inputs'!$F11,OFFSET('Additional Inputs'!$A11,0,MATCH(G$20&amp;G$21&amp;G$22,'Additional Inputs'!$B$7:$E$7,0)))</f>
        <v>0.14799999999999999</v>
      </c>
      <c r="H27" s="45" t="s">
        <v>57</v>
      </c>
      <c r="I27" s="102" t="s">
        <v>29</v>
      </c>
    </row>
    <row r="28" spans="1:9" outlineLevel="2">
      <c r="C28" s="71" t="s">
        <v>59</v>
      </c>
      <c r="D28" s="37">
        <f ca="1">IF(D$20="Custom",'Additional Inputs'!$F12,OFFSET('Additional Inputs'!$A12,0,MATCH(D$20&amp;D$21&amp;D$22,'Additional Inputs'!$B$7:$E$7,0)))</f>
        <v>0</v>
      </c>
      <c r="E28" s="45" t="s">
        <v>57</v>
      </c>
      <c r="F28" s="102" t="s">
        <v>29</v>
      </c>
      <c r="G28" s="37">
        <f ca="1">IF(G$20="Custom",'Additional Inputs'!$F12,OFFSET('Additional Inputs'!$A12,0,MATCH(G$20&amp;G$21&amp;G$22,'Additional Inputs'!$B$7:$E$7,0)))</f>
        <v>0</v>
      </c>
      <c r="H28" s="45" t="s">
        <v>57</v>
      </c>
      <c r="I28" s="102" t="s">
        <v>29</v>
      </c>
    </row>
    <row r="29" spans="1:9" outlineLevel="2">
      <c r="C29" s="71" t="s">
        <v>60</v>
      </c>
      <c r="D29" s="37">
        <f ca="1">IF(D$20="Custom",'Additional Inputs'!$F13,OFFSET('Additional Inputs'!$A13,0,MATCH(D$20&amp;D$21&amp;D$22,'Additional Inputs'!$B$7:$E$7,0)))</f>
        <v>8.1000000000000003E-2</v>
      </c>
      <c r="E29" s="45" t="s">
        <v>57</v>
      </c>
      <c r="F29" s="102" t="s">
        <v>29</v>
      </c>
      <c r="G29" s="37">
        <f ca="1">IF(G$20="Custom",'Additional Inputs'!$F13,OFFSET('Additional Inputs'!$A13,0,MATCH(G$20&amp;G$21&amp;G$22,'Additional Inputs'!$B$7:$E$7,0)))</f>
        <v>8.1000000000000003E-2</v>
      </c>
      <c r="H29" s="45" t="s">
        <v>57</v>
      </c>
      <c r="I29" s="102" t="s">
        <v>29</v>
      </c>
    </row>
    <row r="30" spans="1:9" outlineLevel="1">
      <c r="B30" s="66" t="s">
        <v>100</v>
      </c>
      <c r="D30" s="54"/>
      <c r="E30" s="46"/>
      <c r="F30" s="72"/>
      <c r="G30" s="54"/>
      <c r="H30" s="46"/>
      <c r="I30" s="72"/>
    </row>
    <row r="31" spans="1:9" outlineLevel="2">
      <c r="C31" s="73" t="s">
        <v>81</v>
      </c>
      <c r="D31" s="54">
        <f ca="1">D27/(1-D24)</f>
        <v>0.20422194248087536</v>
      </c>
      <c r="E31" s="46" t="s">
        <v>50</v>
      </c>
      <c r="F31" s="44" t="s">
        <v>142</v>
      </c>
      <c r="G31" s="54">
        <f ca="1">G27/(1-G24)</f>
        <v>0.20422194248087536</v>
      </c>
      <c r="H31" s="46" t="s">
        <v>50</v>
      </c>
      <c r="I31" s="44" t="s">
        <v>142</v>
      </c>
    </row>
    <row r="32" spans="1:9" outlineLevel="2">
      <c r="C32" s="71" t="s">
        <v>82</v>
      </c>
      <c r="D32" s="54">
        <f ca="1">D28/(1-D25)</f>
        <v>0</v>
      </c>
      <c r="E32" s="46" t="s">
        <v>50</v>
      </c>
      <c r="F32" s="97" t="s">
        <v>29</v>
      </c>
      <c r="G32" s="54">
        <f ca="1">G28/(1-G25)</f>
        <v>0</v>
      </c>
      <c r="H32" s="46" t="s">
        <v>50</v>
      </c>
      <c r="I32" s="97" t="s">
        <v>29</v>
      </c>
    </row>
    <row r="33" spans="1:9" outlineLevel="2">
      <c r="C33" s="71" t="s">
        <v>83</v>
      </c>
      <c r="D33" s="54">
        <f ca="1">D29/(1-D26)</f>
        <v>0.1036500378180642</v>
      </c>
      <c r="E33" s="46" t="s">
        <v>50</v>
      </c>
      <c r="F33" s="97" t="s">
        <v>29</v>
      </c>
      <c r="G33" s="54">
        <f ca="1">G29/(1-G26)</f>
        <v>0.1036500378180642</v>
      </c>
      <c r="H33" s="46" t="s">
        <v>50</v>
      </c>
      <c r="I33" s="97" t="s">
        <v>29</v>
      </c>
    </row>
    <row r="34" spans="1:9" outlineLevel="1">
      <c r="B34" s="66" t="s">
        <v>101</v>
      </c>
      <c r="D34" s="49"/>
      <c r="G34" s="49"/>
    </row>
    <row r="35" spans="1:9" outlineLevel="2">
      <c r="C35" s="71" t="s">
        <v>97</v>
      </c>
      <c r="D35" s="55">
        <f ca="1">D31*D$17</f>
        <v>0.12613708212054067</v>
      </c>
      <c r="E35" s="46" t="s">
        <v>50</v>
      </c>
      <c r="F35" s="103" t="s">
        <v>103</v>
      </c>
      <c r="G35" s="55">
        <f ca="1">G31*G$17</f>
        <v>0.20422194248087536</v>
      </c>
      <c r="H35" s="46" t="s">
        <v>50</v>
      </c>
      <c r="I35" s="103" t="s">
        <v>103</v>
      </c>
    </row>
    <row r="36" spans="1:9" outlineLevel="2">
      <c r="C36" s="71" t="s">
        <v>98</v>
      </c>
      <c r="D36" s="55">
        <f ca="1">D32*D$17</f>
        <v>0</v>
      </c>
      <c r="E36" s="46" t="s">
        <v>50</v>
      </c>
      <c r="F36" s="97" t="s">
        <v>29</v>
      </c>
      <c r="G36" s="55">
        <f ca="1">G32*G$17</f>
        <v>0</v>
      </c>
      <c r="H36" s="46" t="s">
        <v>50</v>
      </c>
      <c r="I36" s="97" t="s">
        <v>29</v>
      </c>
    </row>
    <row r="37" spans="1:9" outlineLevel="2">
      <c r="C37" s="71" t="s">
        <v>99</v>
      </c>
      <c r="D37" s="55">
        <f ca="1">D33*D$17</f>
        <v>6.4019141005274949E-2</v>
      </c>
      <c r="E37" s="46" t="s">
        <v>50</v>
      </c>
      <c r="F37" s="97" t="s">
        <v>29</v>
      </c>
      <c r="G37" s="55">
        <f ca="1">G33*G$17</f>
        <v>0.1036500378180642</v>
      </c>
      <c r="H37" s="46" t="s">
        <v>50</v>
      </c>
      <c r="I37" s="97" t="s">
        <v>29</v>
      </c>
    </row>
    <row r="38" spans="1:9" outlineLevel="1">
      <c r="B38" s="66" t="s">
        <v>6</v>
      </c>
      <c r="D38" s="54"/>
      <c r="E38" s="46"/>
      <c r="G38" s="54"/>
      <c r="H38" s="46"/>
    </row>
    <row r="39" spans="1:9" outlineLevel="2">
      <c r="C39" s="71" t="s">
        <v>7</v>
      </c>
      <c r="D39" s="52">
        <v>0.75</v>
      </c>
      <c r="E39" s="43" t="s">
        <v>52</v>
      </c>
      <c r="F39" s="97" t="s">
        <v>62</v>
      </c>
      <c r="G39" s="52">
        <f>D39</f>
        <v>0.75</v>
      </c>
      <c r="H39" s="43" t="s">
        <v>52</v>
      </c>
      <c r="I39" s="97" t="s">
        <v>62</v>
      </c>
    </row>
    <row r="40" spans="1:9" outlineLevel="2">
      <c r="C40" s="79" t="s">
        <v>88</v>
      </c>
      <c r="D40" s="52">
        <v>0.5</v>
      </c>
      <c r="E40" s="43" t="s">
        <v>52</v>
      </c>
      <c r="F40" s="103" t="s">
        <v>179</v>
      </c>
      <c r="G40" s="52">
        <v>1</v>
      </c>
      <c r="H40" s="43" t="s">
        <v>52</v>
      </c>
      <c r="I40" s="103" t="s">
        <v>89</v>
      </c>
    </row>
    <row r="41" spans="1:9" outlineLevel="2">
      <c r="C41" s="76" t="s">
        <v>167</v>
      </c>
      <c r="D41" s="52">
        <v>0.75</v>
      </c>
      <c r="E41" s="43" t="s">
        <v>52</v>
      </c>
      <c r="F41" s="101" t="s">
        <v>166</v>
      </c>
      <c r="G41" s="52">
        <v>1</v>
      </c>
      <c r="H41" s="43" t="s">
        <v>52</v>
      </c>
      <c r="I41" s="101" t="s">
        <v>166</v>
      </c>
    </row>
    <row r="42" spans="1:9" outlineLevel="2">
      <c r="C42" s="73" t="s">
        <v>87</v>
      </c>
      <c r="D42" s="52">
        <v>0.75</v>
      </c>
      <c r="E42" s="43" t="s">
        <v>52</v>
      </c>
      <c r="F42" s="97" t="s">
        <v>63</v>
      </c>
      <c r="G42" s="52">
        <v>1</v>
      </c>
      <c r="H42" s="43" t="s">
        <v>52</v>
      </c>
      <c r="I42" s="97" t="s">
        <v>63</v>
      </c>
    </row>
    <row r="43" spans="1:9" outlineLevel="1">
      <c r="B43" s="66" t="s">
        <v>80</v>
      </c>
      <c r="D43" s="49"/>
      <c r="G43" s="49"/>
    </row>
    <row r="44" spans="1:9" outlineLevel="2">
      <c r="C44" s="71" t="s">
        <v>84</v>
      </c>
      <c r="D44" s="56">
        <f ca="1">D35*D$39*D$40*D$41*D$42</f>
        <v>2.660704075980155E-2</v>
      </c>
      <c r="E44" s="46" t="s">
        <v>50</v>
      </c>
      <c r="F44" s="104" t="s">
        <v>49</v>
      </c>
      <c r="G44" s="56">
        <f ca="1">G35*G$39*G$40*G$41*G$42</f>
        <v>0.15316645686065652</v>
      </c>
      <c r="H44" s="46" t="s">
        <v>50</v>
      </c>
      <c r="I44" s="104" t="s">
        <v>49</v>
      </c>
    </row>
    <row r="45" spans="1:9" outlineLevel="2">
      <c r="C45" s="71" t="s">
        <v>85</v>
      </c>
      <c r="D45" s="56">
        <f ca="1">D36*D$39*D$40*D$41*D$42</f>
        <v>0</v>
      </c>
      <c r="E45" s="46" t="s">
        <v>50</v>
      </c>
      <c r="F45" s="104" t="s">
        <v>49</v>
      </c>
      <c r="G45" s="56">
        <f ca="1">G36*G$39*G$40*G$41*G$42</f>
        <v>0</v>
      </c>
      <c r="H45" s="46" t="s">
        <v>50</v>
      </c>
      <c r="I45" s="104" t="s">
        <v>49</v>
      </c>
    </row>
    <row r="46" spans="1:9" outlineLevel="2">
      <c r="C46" s="71" t="s">
        <v>86</v>
      </c>
      <c r="D46" s="56">
        <f ca="1">D37*D$39*D$40*D$41*D$42</f>
        <v>1.3504037555800184E-2</v>
      </c>
      <c r="E46" s="46" t="s">
        <v>50</v>
      </c>
      <c r="F46" s="104" t="s">
        <v>49</v>
      </c>
      <c r="G46" s="56">
        <f ca="1">G37*G$39*G$40*G$41*G$42</f>
        <v>7.773752836354815E-2</v>
      </c>
      <c r="H46" s="46" t="s">
        <v>50</v>
      </c>
      <c r="I46" s="104" t="s">
        <v>49</v>
      </c>
    </row>
    <row r="47" spans="1:9" outlineLevel="1">
      <c r="B47" s="66" t="s">
        <v>129</v>
      </c>
      <c r="D47" s="49"/>
      <c r="G47" s="49"/>
    </row>
    <row r="48" spans="1:9" s="4" customFormat="1" outlineLevel="2">
      <c r="A48" s="67"/>
      <c r="B48" s="67"/>
      <c r="C48" s="74" t="s">
        <v>110</v>
      </c>
      <c r="D48" s="57">
        <v>0.44700000000000001</v>
      </c>
      <c r="E48" s="80" t="s">
        <v>69</v>
      </c>
      <c r="F48" s="105" t="s">
        <v>144</v>
      </c>
      <c r="G48" s="57">
        <f>(0.282*302+0.27*382)/(302+382)</f>
        <v>0.27529824561403504</v>
      </c>
      <c r="H48" s="80" t="s">
        <v>172</v>
      </c>
      <c r="I48" s="105" t="s">
        <v>144</v>
      </c>
    </row>
    <row r="49" spans="1:9" s="4" customFormat="1" outlineLevel="2">
      <c r="A49" s="67"/>
      <c r="B49" s="67"/>
      <c r="C49" s="74" t="s">
        <v>111</v>
      </c>
      <c r="D49" s="57">
        <v>0.23100000000000001</v>
      </c>
      <c r="E49" s="67" t="s">
        <v>68</v>
      </c>
      <c r="F49" s="106" t="s">
        <v>29</v>
      </c>
      <c r="G49" s="57">
        <f>(0.173*735+0.169*639)/(735+639)</f>
        <v>0.17113973799126639</v>
      </c>
      <c r="H49" s="80" t="s">
        <v>172</v>
      </c>
      <c r="I49" s="106" t="s">
        <v>29</v>
      </c>
    </row>
    <row r="50" spans="1:9" s="4" customFormat="1" outlineLevel="2">
      <c r="A50" s="67"/>
      <c r="B50" s="67"/>
      <c r="C50" s="74" t="s">
        <v>106</v>
      </c>
      <c r="D50" s="57">
        <v>0.17199999999999999</v>
      </c>
      <c r="E50" s="80" t="s">
        <v>10</v>
      </c>
      <c r="F50" s="107" t="s">
        <v>29</v>
      </c>
      <c r="G50" s="57">
        <f>(560*0.266+516*0.167)/(560+516)</f>
        <v>0.21852416356877324</v>
      </c>
      <c r="H50" s="80" t="s">
        <v>172</v>
      </c>
      <c r="I50" s="107" t="s">
        <v>29</v>
      </c>
    </row>
    <row r="51" spans="1:9" outlineLevel="1">
      <c r="B51" s="66" t="s">
        <v>130</v>
      </c>
      <c r="D51" s="49"/>
      <c r="G51" s="49"/>
    </row>
    <row r="52" spans="1:9" outlineLevel="2">
      <c r="B52" s="67"/>
      <c r="C52" s="71" t="s">
        <v>107</v>
      </c>
      <c r="D52" s="52">
        <v>1</v>
      </c>
      <c r="E52" s="43" t="s">
        <v>52</v>
      </c>
      <c r="F52" s="97" t="s">
        <v>165</v>
      </c>
      <c r="G52" s="52">
        <f>D52</f>
        <v>1</v>
      </c>
      <c r="H52" s="43" t="s">
        <v>52</v>
      </c>
      <c r="I52" s="97" t="s">
        <v>165</v>
      </c>
    </row>
    <row r="53" spans="1:9" outlineLevel="2">
      <c r="B53" s="67"/>
      <c r="C53" s="71" t="s">
        <v>108</v>
      </c>
      <c r="D53" s="52">
        <v>1</v>
      </c>
      <c r="E53" s="43" t="s">
        <v>52</v>
      </c>
      <c r="F53" s="106" t="s">
        <v>29</v>
      </c>
      <c r="G53" s="52">
        <f>D53</f>
        <v>1</v>
      </c>
      <c r="H53" s="43" t="s">
        <v>52</v>
      </c>
      <c r="I53" s="106" t="s">
        <v>29</v>
      </c>
    </row>
    <row r="54" spans="1:9" outlineLevel="2">
      <c r="C54" s="71" t="s">
        <v>109</v>
      </c>
      <c r="D54" s="52">
        <v>1</v>
      </c>
      <c r="E54" s="43" t="s">
        <v>52</v>
      </c>
      <c r="F54" s="107" t="s">
        <v>29</v>
      </c>
      <c r="G54" s="52">
        <f>D54</f>
        <v>1</v>
      </c>
      <c r="H54" s="43" t="s">
        <v>52</v>
      </c>
      <c r="I54" s="107" t="s">
        <v>29</v>
      </c>
    </row>
    <row r="55" spans="1:9" outlineLevel="1">
      <c r="B55" s="66" t="s">
        <v>131</v>
      </c>
      <c r="D55" s="49"/>
      <c r="G55" s="49"/>
    </row>
    <row r="56" spans="1:9" s="4" customFormat="1" outlineLevel="2">
      <c r="A56" s="67"/>
      <c r="B56" s="67"/>
      <c r="C56" s="74" t="s">
        <v>112</v>
      </c>
      <c r="D56" s="55">
        <f ca="1">D48+(1-D48)*D52*D44</f>
        <v>0.46171369354017028</v>
      </c>
      <c r="E56" s="46" t="s">
        <v>50</v>
      </c>
      <c r="F56" s="108" t="s">
        <v>49</v>
      </c>
      <c r="G56" s="55">
        <f ca="1">G48+(1-G48)*G52*G44</f>
        <v>0.38629824561403503</v>
      </c>
      <c r="H56" s="46" t="s">
        <v>50</v>
      </c>
      <c r="I56" s="108" t="s">
        <v>49</v>
      </c>
    </row>
    <row r="57" spans="1:9" s="4" customFormat="1" outlineLevel="2">
      <c r="A57" s="67"/>
      <c r="B57" s="67"/>
      <c r="C57" s="74" t="s">
        <v>113</v>
      </c>
      <c r="D57" s="55">
        <f ca="1">D49+(1-D49)*D53*D45</f>
        <v>0.23100000000000001</v>
      </c>
      <c r="E57" s="46" t="s">
        <v>50</v>
      </c>
      <c r="F57" s="106" t="s">
        <v>49</v>
      </c>
      <c r="G57" s="55">
        <f ca="1">G49+(1-G49)*G53*G45</f>
        <v>0.17113973799126639</v>
      </c>
      <c r="H57" s="46" t="s">
        <v>50</v>
      </c>
      <c r="I57" s="106" t="s">
        <v>49</v>
      </c>
    </row>
    <row r="58" spans="1:9" s="4" customFormat="1" outlineLevel="2">
      <c r="A58" s="67"/>
      <c r="B58" s="67"/>
      <c r="C58" s="74" t="s">
        <v>117</v>
      </c>
      <c r="D58" s="55">
        <f ca="1">D50+(1-D50)*D54*D46</f>
        <v>0.18318134309620254</v>
      </c>
      <c r="E58" s="46" t="s">
        <v>50</v>
      </c>
      <c r="F58" s="108" t="s">
        <v>49</v>
      </c>
      <c r="G58" s="55">
        <f ca="1">G50+(1-G50)*G54*G46</f>
        <v>0.27927416356877327</v>
      </c>
      <c r="H58" s="46" t="s">
        <v>50</v>
      </c>
      <c r="I58" s="108" t="s">
        <v>49</v>
      </c>
    </row>
    <row r="59" spans="1:9">
      <c r="A59" s="70" t="s">
        <v>138</v>
      </c>
      <c r="D59" s="49"/>
      <c r="F59" s="109" t="s">
        <v>145</v>
      </c>
      <c r="G59" s="49"/>
      <c r="I59" s="109" t="s">
        <v>145</v>
      </c>
    </row>
    <row r="60" spans="1:9" outlineLevel="1">
      <c r="B60" s="77" t="s">
        <v>128</v>
      </c>
      <c r="C60" s="76"/>
      <c r="D60" s="49"/>
      <c r="G60" s="49"/>
    </row>
    <row r="61" spans="1:9" outlineLevel="2">
      <c r="C61" s="71" t="s">
        <v>114</v>
      </c>
      <c r="D61" s="50">
        <v>0.7</v>
      </c>
      <c r="E61" s="5" t="s">
        <v>67</v>
      </c>
      <c r="F61" s="104" t="s">
        <v>49</v>
      </c>
      <c r="G61" s="50">
        <f>D61</f>
        <v>0.7</v>
      </c>
      <c r="H61" s="5" t="s">
        <v>67</v>
      </c>
      <c r="I61" s="104" t="s">
        <v>49</v>
      </c>
    </row>
    <row r="62" spans="1:9" outlineLevel="2">
      <c r="C62" s="71" t="s">
        <v>115</v>
      </c>
      <c r="D62" s="50">
        <v>0.84</v>
      </c>
      <c r="E62" s="5" t="s">
        <v>70</v>
      </c>
      <c r="F62" s="104" t="s">
        <v>71</v>
      </c>
      <c r="G62" s="50">
        <f>D62</f>
        <v>0.84</v>
      </c>
      <c r="H62" s="5" t="s">
        <v>70</v>
      </c>
      <c r="I62" s="104" t="s">
        <v>71</v>
      </c>
    </row>
    <row r="63" spans="1:9" outlineLevel="2">
      <c r="C63" s="71" t="s">
        <v>116</v>
      </c>
      <c r="D63" s="50">
        <v>0.93</v>
      </c>
      <c r="E63" s="5" t="s">
        <v>122</v>
      </c>
      <c r="F63" s="104" t="s">
        <v>49</v>
      </c>
      <c r="G63" s="50">
        <f>D63</f>
        <v>0.93</v>
      </c>
      <c r="H63" s="5" t="s">
        <v>122</v>
      </c>
      <c r="I63" s="104" t="s">
        <v>49</v>
      </c>
    </row>
    <row r="64" spans="1:9" outlineLevel="1">
      <c r="B64" s="66" t="s">
        <v>162</v>
      </c>
      <c r="D64" s="49"/>
      <c r="F64" s="39"/>
      <c r="G64" s="49"/>
      <c r="I64" s="39"/>
    </row>
    <row r="65" spans="1:9" outlineLevel="2">
      <c r="B65" s="67"/>
      <c r="C65" s="71" t="s">
        <v>0</v>
      </c>
      <c r="D65" s="52">
        <v>0.9</v>
      </c>
      <c r="E65" s="43" t="s">
        <v>52</v>
      </c>
      <c r="F65" s="97" t="s">
        <v>1</v>
      </c>
      <c r="G65" s="52">
        <f>D65</f>
        <v>0.9</v>
      </c>
      <c r="H65" s="43" t="s">
        <v>52</v>
      </c>
      <c r="I65" s="97" t="s">
        <v>1</v>
      </c>
    </row>
    <row r="66" spans="1:9" outlineLevel="2">
      <c r="B66" s="67"/>
      <c r="C66" s="71" t="s">
        <v>118</v>
      </c>
      <c r="D66" s="50">
        <v>0.5</v>
      </c>
      <c r="E66" s="43" t="s">
        <v>52</v>
      </c>
      <c r="F66" s="39" t="s">
        <v>156</v>
      </c>
      <c r="G66" s="50">
        <f>D66</f>
        <v>0.5</v>
      </c>
      <c r="H66" s="43" t="s">
        <v>52</v>
      </c>
      <c r="I66" s="39" t="s">
        <v>156</v>
      </c>
    </row>
    <row r="67" spans="1:9" outlineLevel="2">
      <c r="B67" s="67"/>
      <c r="C67" s="71" t="s">
        <v>64</v>
      </c>
      <c r="D67" s="52" t="s">
        <v>19</v>
      </c>
      <c r="E67" s="43" t="s">
        <v>52</v>
      </c>
      <c r="F67" s="39" t="s">
        <v>49</v>
      </c>
      <c r="G67" s="52" t="str">
        <f>D67</f>
        <v>Yes</v>
      </c>
      <c r="H67" s="43" t="s">
        <v>52</v>
      </c>
      <c r="I67" s="39" t="s">
        <v>49</v>
      </c>
    </row>
    <row r="68" spans="1:9" s="3" customFormat="1" outlineLevel="2">
      <c r="A68" s="75"/>
      <c r="B68" s="67"/>
      <c r="C68" s="71" t="s">
        <v>22</v>
      </c>
      <c r="D68" s="56">
        <f>IF(D67="Yes", D66+0.066*D39*D40*D41*D42, D66)</f>
        <v>0.51392187499999997</v>
      </c>
      <c r="E68" s="46" t="s">
        <v>50</v>
      </c>
      <c r="F68" s="101" t="s">
        <v>65</v>
      </c>
      <c r="G68" s="56">
        <f>IF(G67="Yes", G66+0.066*G39*G40*G41*G42, G66)</f>
        <v>0.54949999999999999</v>
      </c>
      <c r="H68" s="46" t="s">
        <v>50</v>
      </c>
      <c r="I68" s="101" t="s">
        <v>65</v>
      </c>
    </row>
    <row r="69" spans="1:9" outlineLevel="2">
      <c r="B69" s="67"/>
      <c r="C69" s="71" t="s">
        <v>21</v>
      </c>
      <c r="D69" s="52">
        <v>0.25</v>
      </c>
      <c r="E69" s="43" t="s">
        <v>52</v>
      </c>
      <c r="F69" s="101" t="s">
        <v>66</v>
      </c>
      <c r="G69" s="52">
        <f>D69</f>
        <v>0.25</v>
      </c>
      <c r="H69" s="43" t="s">
        <v>52</v>
      </c>
      <c r="I69" s="101" t="s">
        <v>66</v>
      </c>
    </row>
    <row r="70" spans="1:9" outlineLevel="2">
      <c r="B70" s="67"/>
      <c r="C70" s="71" t="s">
        <v>17</v>
      </c>
      <c r="D70" s="56">
        <f>D66+(1-D66)*(1-D69)</f>
        <v>0.875</v>
      </c>
      <c r="E70" s="46" t="s">
        <v>50</v>
      </c>
      <c r="F70" s="97" t="s">
        <v>49</v>
      </c>
      <c r="G70" s="56">
        <f>G66+(1-G66)*(1-G69)</f>
        <v>0.875</v>
      </c>
      <c r="H70" s="46" t="s">
        <v>50</v>
      </c>
      <c r="I70" s="97" t="s">
        <v>49</v>
      </c>
    </row>
    <row r="71" spans="1:9" outlineLevel="2">
      <c r="B71" s="67"/>
      <c r="C71" s="71" t="s">
        <v>18</v>
      </c>
      <c r="D71" s="56">
        <f>D68+(1-D68)*(1-D69)</f>
        <v>0.87848046874999997</v>
      </c>
      <c r="E71" s="46" t="s">
        <v>50</v>
      </c>
      <c r="F71" s="97" t="s">
        <v>49</v>
      </c>
      <c r="G71" s="56">
        <f>G68+(1-G68)*(1-G69)</f>
        <v>0.88737500000000002</v>
      </c>
      <c r="H71" s="46" t="s">
        <v>50</v>
      </c>
      <c r="I71" s="97" t="s">
        <v>49</v>
      </c>
    </row>
    <row r="72" spans="1:9" outlineLevel="2">
      <c r="B72" s="67"/>
      <c r="C72" s="76" t="s">
        <v>132</v>
      </c>
      <c r="D72" s="52">
        <v>0.8</v>
      </c>
      <c r="E72" s="43" t="s">
        <v>52</v>
      </c>
      <c r="F72" s="101" t="s">
        <v>146</v>
      </c>
      <c r="G72" s="52">
        <f>D72</f>
        <v>0.8</v>
      </c>
      <c r="H72" s="43" t="s">
        <v>52</v>
      </c>
      <c r="I72" s="101" t="s">
        <v>146</v>
      </c>
    </row>
    <row r="73" spans="1:9" outlineLevel="1">
      <c r="B73" s="66" t="s">
        <v>163</v>
      </c>
      <c r="D73" s="51"/>
      <c r="G73" s="51"/>
    </row>
    <row r="74" spans="1:9" outlineLevel="2">
      <c r="B74" s="67"/>
      <c r="C74" s="71" t="s">
        <v>0</v>
      </c>
      <c r="D74" s="52">
        <v>0.9</v>
      </c>
      <c r="E74" s="43" t="s">
        <v>52</v>
      </c>
      <c r="F74" s="101" t="s">
        <v>160</v>
      </c>
      <c r="G74" s="52">
        <f>D74</f>
        <v>0.9</v>
      </c>
      <c r="H74" s="43" t="s">
        <v>52</v>
      </c>
      <c r="I74" s="101" t="s">
        <v>160</v>
      </c>
    </row>
    <row r="75" spans="1:9" outlineLevel="2">
      <c r="B75" s="67"/>
      <c r="C75" s="71" t="s">
        <v>24</v>
      </c>
      <c r="D75" s="50">
        <v>0.8</v>
      </c>
      <c r="E75" s="43" t="s">
        <v>52</v>
      </c>
      <c r="F75" s="101" t="s">
        <v>133</v>
      </c>
      <c r="G75" s="50">
        <f>D75</f>
        <v>0.8</v>
      </c>
      <c r="H75" s="43" t="s">
        <v>52</v>
      </c>
      <c r="I75" s="101" t="s">
        <v>133</v>
      </c>
    </row>
    <row r="76" spans="1:9" outlineLevel="2">
      <c r="B76" s="67"/>
      <c r="C76" s="71" t="s">
        <v>64</v>
      </c>
      <c r="D76" s="52" t="s">
        <v>20</v>
      </c>
      <c r="E76" s="43" t="s">
        <v>52</v>
      </c>
      <c r="F76" s="97" t="s">
        <v>49</v>
      </c>
      <c r="G76" s="52" t="str">
        <f>D76</f>
        <v>No</v>
      </c>
      <c r="H76" s="43" t="s">
        <v>52</v>
      </c>
      <c r="I76" s="97" t="s">
        <v>49</v>
      </c>
    </row>
    <row r="77" spans="1:9" outlineLevel="2">
      <c r="B77" s="67"/>
      <c r="C77" s="71" t="s">
        <v>22</v>
      </c>
      <c r="D77" s="58">
        <f>IF(D76="Yes", D75+0.086*D39*D40*D41*D42, D75)</f>
        <v>0.8</v>
      </c>
      <c r="E77" s="46" t="s">
        <v>50</v>
      </c>
      <c r="F77" s="105" t="s">
        <v>147</v>
      </c>
      <c r="G77" s="58">
        <f>IF(G76="Yes", G75+0.086*G39*G40*G41*G42, G75)</f>
        <v>0.8</v>
      </c>
      <c r="H77" s="46" t="s">
        <v>50</v>
      </c>
      <c r="I77" s="105" t="s">
        <v>147</v>
      </c>
    </row>
    <row r="78" spans="1:9" outlineLevel="2">
      <c r="B78" s="67"/>
      <c r="C78" s="71" t="s">
        <v>25</v>
      </c>
      <c r="D78" s="52">
        <v>0.25</v>
      </c>
      <c r="E78" s="43" t="s">
        <v>52</v>
      </c>
      <c r="F78" s="101" t="s">
        <v>66</v>
      </c>
      <c r="G78" s="52">
        <f>D78</f>
        <v>0.25</v>
      </c>
      <c r="H78" s="43" t="s">
        <v>52</v>
      </c>
      <c r="I78" s="101" t="s">
        <v>66</v>
      </c>
    </row>
    <row r="79" spans="1:9" outlineLevel="2">
      <c r="B79" s="67"/>
      <c r="C79" s="71" t="s">
        <v>17</v>
      </c>
      <c r="D79" s="56">
        <f>D75+(1-D75)*(1-D78)</f>
        <v>0.95</v>
      </c>
      <c r="E79" s="46" t="s">
        <v>50</v>
      </c>
      <c r="F79" s="110" t="s">
        <v>49</v>
      </c>
      <c r="G79" s="56">
        <f>G75+(1-G75)*(1-G78)</f>
        <v>0.95</v>
      </c>
      <c r="H79" s="46" t="s">
        <v>50</v>
      </c>
      <c r="I79" s="110" t="s">
        <v>49</v>
      </c>
    </row>
    <row r="80" spans="1:9" outlineLevel="2">
      <c r="B80" s="67"/>
      <c r="C80" s="71" t="s">
        <v>18</v>
      </c>
      <c r="D80" s="56">
        <f>D77+(1-D77)*(1-D78)</f>
        <v>0.95</v>
      </c>
      <c r="E80" s="46" t="s">
        <v>50</v>
      </c>
      <c r="F80" s="110" t="s">
        <v>49</v>
      </c>
      <c r="G80" s="56">
        <f>G77+(1-G77)*(1-G78)</f>
        <v>0.95</v>
      </c>
      <c r="H80" s="46" t="s">
        <v>50</v>
      </c>
      <c r="I80" s="110" t="s">
        <v>49</v>
      </c>
    </row>
    <row r="81" spans="1:9" outlineLevel="2">
      <c r="B81" s="67"/>
      <c r="C81" s="71" t="s">
        <v>23</v>
      </c>
      <c r="D81" s="52">
        <v>0.9</v>
      </c>
      <c r="E81" s="43" t="s">
        <v>52</v>
      </c>
      <c r="F81" s="97" t="s">
        <v>1</v>
      </c>
      <c r="G81" s="52">
        <f>D81</f>
        <v>0.9</v>
      </c>
      <c r="H81" s="43" t="s">
        <v>52</v>
      </c>
      <c r="I81" s="97" t="s">
        <v>1</v>
      </c>
    </row>
    <row r="82" spans="1:9" outlineLevel="1">
      <c r="B82" s="66" t="s">
        <v>164</v>
      </c>
      <c r="D82" s="49"/>
      <c r="G82" s="49"/>
    </row>
    <row r="83" spans="1:9" outlineLevel="2">
      <c r="C83" s="71" t="s">
        <v>0</v>
      </c>
      <c r="D83" s="52">
        <v>0.95</v>
      </c>
      <c r="E83" s="43" t="s">
        <v>52</v>
      </c>
      <c r="F83" s="111" t="s">
        <v>72</v>
      </c>
      <c r="G83" s="52">
        <f>D83</f>
        <v>0.95</v>
      </c>
      <c r="H83" s="43" t="s">
        <v>52</v>
      </c>
      <c r="I83" s="111" t="s">
        <v>72</v>
      </c>
    </row>
    <row r="84" spans="1:9" outlineLevel="2">
      <c r="C84" s="71" t="s">
        <v>24</v>
      </c>
      <c r="D84" s="52">
        <v>1</v>
      </c>
      <c r="E84" s="43" t="s">
        <v>52</v>
      </c>
      <c r="F84" s="105" t="s">
        <v>157</v>
      </c>
      <c r="G84" s="52">
        <f>D84</f>
        <v>1</v>
      </c>
      <c r="H84" s="43" t="s">
        <v>52</v>
      </c>
      <c r="I84" s="105" t="s">
        <v>157</v>
      </c>
    </row>
    <row r="85" spans="1:9" outlineLevel="2">
      <c r="C85" s="71" t="s">
        <v>26</v>
      </c>
      <c r="D85" s="52">
        <v>0.9</v>
      </c>
      <c r="E85" s="43" t="s">
        <v>52</v>
      </c>
      <c r="F85" s="105" t="s">
        <v>148</v>
      </c>
      <c r="G85" s="52">
        <f>D85</f>
        <v>0.9</v>
      </c>
      <c r="H85" s="43" t="s">
        <v>52</v>
      </c>
      <c r="I85" s="105" t="s">
        <v>148</v>
      </c>
    </row>
    <row r="86" spans="1:9" outlineLevel="1">
      <c r="B86" s="66" t="s">
        <v>134</v>
      </c>
      <c r="D86" s="71"/>
      <c r="E86" s="5"/>
      <c r="F86" s="108"/>
      <c r="G86" s="71"/>
      <c r="H86" s="5"/>
      <c r="I86" s="108"/>
    </row>
    <row r="87" spans="1:9" s="4" customFormat="1" outlineLevel="2">
      <c r="A87" s="67"/>
      <c r="B87" s="67"/>
      <c r="C87" s="74" t="s">
        <v>2</v>
      </c>
      <c r="D87" s="55">
        <f>D48*D65*D70*D72</f>
        <v>0.28161000000000003</v>
      </c>
      <c r="E87" s="46" t="s">
        <v>50</v>
      </c>
      <c r="F87" s="105" t="s">
        <v>149</v>
      </c>
      <c r="G87" s="55">
        <f>G48*G65*G70*G72</f>
        <v>0.1734378947368421</v>
      </c>
      <c r="H87" s="46" t="s">
        <v>50</v>
      </c>
      <c r="I87" s="105" t="s">
        <v>149</v>
      </c>
    </row>
    <row r="88" spans="1:9" s="4" customFormat="1" outlineLevel="2">
      <c r="A88" s="67"/>
      <c r="B88" s="67"/>
      <c r="C88" s="74" t="s">
        <v>2</v>
      </c>
      <c r="D88" s="55">
        <f>D49*D74*D79*D81</f>
        <v>0.17775449999999998</v>
      </c>
      <c r="E88" s="46" t="s">
        <v>50</v>
      </c>
      <c r="F88" s="97" t="s">
        <v>29</v>
      </c>
      <c r="G88" s="55">
        <f>G49*G74*G79*G81</f>
        <v>0.13169202838427949</v>
      </c>
      <c r="H88" s="46" t="s">
        <v>50</v>
      </c>
      <c r="I88" s="97" t="s">
        <v>29</v>
      </c>
    </row>
    <row r="89" spans="1:9" s="4" customFormat="1" outlineLevel="2">
      <c r="A89" s="67"/>
      <c r="B89" s="67"/>
      <c r="C89" s="74" t="s">
        <v>2</v>
      </c>
      <c r="D89" s="55">
        <f>D50*D83*D84*D85</f>
        <v>0.14706</v>
      </c>
      <c r="E89" s="46" t="s">
        <v>50</v>
      </c>
      <c r="F89" s="108" t="s">
        <v>29</v>
      </c>
      <c r="G89" s="55">
        <f>G50*G83*G84*G85</f>
        <v>0.18683815985130112</v>
      </c>
      <c r="H89" s="46" t="s">
        <v>50</v>
      </c>
      <c r="I89" s="108" t="s">
        <v>29</v>
      </c>
    </row>
    <row r="90" spans="1:9" outlineLevel="1">
      <c r="B90" s="66" t="s">
        <v>135</v>
      </c>
      <c r="D90" s="71"/>
      <c r="E90" s="5"/>
      <c r="F90" s="108"/>
      <c r="G90" s="71"/>
      <c r="H90" s="5"/>
      <c r="I90" s="108"/>
    </row>
    <row r="91" spans="1:9" s="4" customFormat="1" outlineLevel="2">
      <c r="A91" s="67"/>
      <c r="B91" s="67"/>
      <c r="C91" s="74" t="s">
        <v>3</v>
      </c>
      <c r="D91" s="56">
        <f ca="1">D56*D65*D71*D72</f>
        <v>0.29203665258921313</v>
      </c>
      <c r="E91" s="46" t="s">
        <v>50</v>
      </c>
      <c r="F91" s="97" t="s">
        <v>29</v>
      </c>
      <c r="G91" s="56">
        <f ca="1">G56*G65*G71*G72</f>
        <v>0.24680981210526315</v>
      </c>
      <c r="H91" s="46" t="s">
        <v>50</v>
      </c>
      <c r="I91" s="97" t="s">
        <v>29</v>
      </c>
    </row>
    <row r="92" spans="1:9" s="4" customFormat="1" outlineLevel="2">
      <c r="A92" s="67"/>
      <c r="B92" s="67"/>
      <c r="C92" s="74" t="s">
        <v>3</v>
      </c>
      <c r="D92" s="55">
        <f ca="1">D57*D74*D80*D81</f>
        <v>0.17775449999999998</v>
      </c>
      <c r="E92" s="46" t="s">
        <v>50</v>
      </c>
      <c r="F92" s="108" t="s">
        <v>29</v>
      </c>
      <c r="G92" s="55">
        <f ca="1">G57*G74*G80*G81</f>
        <v>0.13169202838427949</v>
      </c>
      <c r="H92" s="46" t="s">
        <v>50</v>
      </c>
      <c r="I92" s="108" t="s">
        <v>29</v>
      </c>
    </row>
    <row r="93" spans="1:9" s="4" customFormat="1" outlineLevel="2">
      <c r="A93" s="67"/>
      <c r="B93" s="67"/>
      <c r="C93" s="74" t="s">
        <v>3</v>
      </c>
      <c r="D93" s="55">
        <f ca="1">D58*D83*D84*D85</f>
        <v>0.15662004834725318</v>
      </c>
      <c r="E93" s="46" t="s">
        <v>50</v>
      </c>
      <c r="F93" s="108" t="s">
        <v>29</v>
      </c>
      <c r="G93" s="55">
        <f ca="1">G58*G83*G84*G85</f>
        <v>0.23877940985130114</v>
      </c>
      <c r="H93" s="46" t="s">
        <v>50</v>
      </c>
      <c r="I93" s="108" t="s">
        <v>29</v>
      </c>
    </row>
    <row r="94" spans="1:9" outlineLevel="1">
      <c r="B94" s="66" t="s">
        <v>136</v>
      </c>
      <c r="D94" s="71"/>
      <c r="E94" s="5"/>
      <c r="F94" s="108"/>
      <c r="G94" s="71"/>
      <c r="H94" s="5"/>
      <c r="I94" s="108"/>
    </row>
    <row r="95" spans="1:9" s="4" customFormat="1" outlineLevel="2">
      <c r="A95" s="67"/>
      <c r="B95" s="67"/>
      <c r="C95" s="81" t="s">
        <v>119</v>
      </c>
      <c r="D95" s="56">
        <f ca="1">(D61*(D91-D87))/(D87*(1-D61)+(1-D87))</f>
        <v>9.0906741320846158E-3</v>
      </c>
      <c r="E95" s="46" t="s">
        <v>50</v>
      </c>
      <c r="F95" s="39" t="s">
        <v>150</v>
      </c>
      <c r="G95" s="56">
        <f ca="1">(G61*(G91-G87))/(G87*(1-G61)+(1-G87))</f>
        <v>5.8457459218909456E-2</v>
      </c>
      <c r="H95" s="46" t="s">
        <v>50</v>
      </c>
      <c r="I95" s="39" t="s">
        <v>150</v>
      </c>
    </row>
    <row r="96" spans="1:9" s="4" customFormat="1" outlineLevel="2">
      <c r="A96" s="67"/>
      <c r="B96" s="67"/>
      <c r="C96" s="74" t="s">
        <v>121</v>
      </c>
      <c r="D96" s="56">
        <f ca="1">(D62*(D92-D88))/(D88*(1-D62)+(1-D88))</f>
        <v>0</v>
      </c>
      <c r="E96" s="46" t="s">
        <v>50</v>
      </c>
      <c r="F96" s="106" t="s">
        <v>29</v>
      </c>
      <c r="G96" s="56">
        <f ca="1">(G62*(G92-G88))/(G88*(1-G62)+(1-G88))</f>
        <v>0</v>
      </c>
      <c r="H96" s="46" t="s">
        <v>50</v>
      </c>
      <c r="I96" s="106" t="s">
        <v>29</v>
      </c>
    </row>
    <row r="97" spans="1:9" s="4" customFormat="1" outlineLevel="2">
      <c r="A97" s="67"/>
      <c r="B97" s="67"/>
      <c r="C97" s="71" t="s">
        <v>120</v>
      </c>
      <c r="D97" s="56">
        <f ca="1">(D63*(D93-D89))/(D89*(1-D63)+(1-D89))</f>
        <v>1.0299458667121231E-2</v>
      </c>
      <c r="E97" s="46" t="s">
        <v>50</v>
      </c>
      <c r="F97" s="107" t="s">
        <v>29</v>
      </c>
      <c r="G97" s="56">
        <f ca="1">(G63*(G93-G89))/(G89*(1-G63)+(1-G89))</f>
        <v>5.8464045077816607E-2</v>
      </c>
      <c r="H97" s="46" t="s">
        <v>50</v>
      </c>
      <c r="I97" s="107" t="s">
        <v>29</v>
      </c>
    </row>
    <row r="98" spans="1:9" s="4" customFormat="1" outlineLevel="2">
      <c r="A98" s="113" t="s">
        <v>176</v>
      </c>
      <c r="B98" s="67"/>
      <c r="C98" s="71"/>
      <c r="D98" s="56"/>
      <c r="E98" s="46"/>
      <c r="F98" s="107"/>
      <c r="G98" s="56"/>
      <c r="H98" s="46"/>
      <c r="I98" s="107"/>
    </row>
    <row r="99" spans="1:9" s="4" customFormat="1" outlineLevel="2">
      <c r="A99" s="67"/>
      <c r="B99" s="67" t="s">
        <v>173</v>
      </c>
      <c r="C99" s="71"/>
      <c r="D99" s="56"/>
      <c r="E99" s="46"/>
      <c r="F99"/>
      <c r="G99" s="3">
        <f>13875/92519</f>
        <v>0.1499691955165966</v>
      </c>
      <c r="H99" s="5" t="s">
        <v>189</v>
      </c>
      <c r="I99" s="107"/>
    </row>
    <row r="100" spans="1:9" s="4" customFormat="1" outlineLevel="2">
      <c r="A100" s="67"/>
      <c r="B100" s="67" t="s">
        <v>174</v>
      </c>
      <c r="C100" s="71"/>
      <c r="D100" s="56"/>
      <c r="E100" s="46"/>
      <c r="F100"/>
      <c r="G100" s="3">
        <f>29155/92519</f>
        <v>0.31512446092154045</v>
      </c>
      <c r="H100" s="5" t="s">
        <v>190</v>
      </c>
      <c r="I100" s="107"/>
    </row>
    <row r="101" spans="1:9" s="4" customFormat="1" outlineLevel="2">
      <c r="A101" s="67"/>
      <c r="B101" s="67" t="s">
        <v>175</v>
      </c>
      <c r="C101" s="71"/>
      <c r="D101" s="56"/>
      <c r="E101" s="46"/>
      <c r="F101"/>
      <c r="G101" s="3">
        <f>18584/92519</f>
        <v>0.20086684897156259</v>
      </c>
      <c r="H101" s="5" t="s">
        <v>191</v>
      </c>
      <c r="I101" s="107"/>
    </row>
    <row r="102" spans="1:9" s="4" customFormat="1" outlineLevel="2">
      <c r="A102" s="67"/>
      <c r="B102" s="116" t="s">
        <v>177</v>
      </c>
      <c r="C102" s="71"/>
      <c r="D102" s="115">
        <f ca="1">G102</f>
        <v>1.9335957792625279E-2</v>
      </c>
      <c r="E102" s="46"/>
      <c r="F102" s="107"/>
      <c r="G102" s="115">
        <f ca="1">G95*G109*G99+G96*G110*G100+G97*G101*G111</f>
        <v>1.9335957792625279E-2</v>
      </c>
      <c r="H102" s="46"/>
      <c r="I102" s="107"/>
    </row>
    <row r="103" spans="1:9">
      <c r="A103" s="70" t="s">
        <v>4</v>
      </c>
      <c r="D103" s="59"/>
      <c r="E103" s="47"/>
      <c r="G103" s="59"/>
      <c r="H103" s="47"/>
    </row>
    <row r="104" spans="1:9" outlineLevel="1">
      <c r="A104" s="70"/>
      <c r="B104" s="66" t="s">
        <v>76</v>
      </c>
      <c r="D104" s="49"/>
      <c r="G104" s="49"/>
    </row>
    <row r="105" spans="1:9" outlineLevel="2">
      <c r="C105" s="71" t="s">
        <v>11</v>
      </c>
      <c r="D105" s="60">
        <v>6447</v>
      </c>
      <c r="E105" s="5" t="s">
        <v>181</v>
      </c>
      <c r="F105" s="97" t="s">
        <v>49</v>
      </c>
      <c r="G105" s="60">
        <v>13875</v>
      </c>
      <c r="H105" s="5" t="s">
        <v>185</v>
      </c>
      <c r="I105" s="97" t="s">
        <v>49</v>
      </c>
    </row>
    <row r="106" spans="1:9" outlineLevel="2">
      <c r="C106" s="71" t="s">
        <v>12</v>
      </c>
      <c r="D106" s="60">
        <v>14106</v>
      </c>
      <c r="E106" s="5" t="s">
        <v>186</v>
      </c>
      <c r="F106" s="97" t="s">
        <v>49</v>
      </c>
      <c r="G106" s="60">
        <v>29155</v>
      </c>
      <c r="H106" s="5" t="s">
        <v>184</v>
      </c>
      <c r="I106" s="97" t="s">
        <v>49</v>
      </c>
    </row>
    <row r="107" spans="1:9" outlineLevel="2">
      <c r="C107" s="71" t="s">
        <v>13</v>
      </c>
      <c r="D107" s="60">
        <v>6617</v>
      </c>
      <c r="E107" s="5" t="s">
        <v>182</v>
      </c>
      <c r="F107" s="97" t="s">
        <v>49</v>
      </c>
      <c r="G107" s="60">
        <v>18584</v>
      </c>
      <c r="H107" s="5" t="s">
        <v>183</v>
      </c>
      <c r="I107" s="97" t="s">
        <v>49</v>
      </c>
    </row>
    <row r="108" spans="1:9" outlineLevel="2">
      <c r="B108" s="82" t="s">
        <v>123</v>
      </c>
      <c r="C108" s="76"/>
      <c r="D108" s="71"/>
      <c r="E108" s="5"/>
      <c r="G108" s="71"/>
      <c r="H108" s="5"/>
    </row>
    <row r="109" spans="1:9" outlineLevel="2">
      <c r="B109" s="67"/>
      <c r="C109" s="71" t="s">
        <v>124</v>
      </c>
      <c r="D109" s="50">
        <v>1</v>
      </c>
      <c r="E109" s="5" t="s">
        <v>15</v>
      </c>
      <c r="F109" s="97" t="s">
        <v>49</v>
      </c>
      <c r="G109" s="50">
        <f>D109</f>
        <v>1</v>
      </c>
      <c r="H109" s="5" t="s">
        <v>15</v>
      </c>
      <c r="I109" s="97" t="s">
        <v>49</v>
      </c>
    </row>
    <row r="110" spans="1:9" outlineLevel="2">
      <c r="B110" s="67"/>
      <c r="C110" s="71" t="s">
        <v>125</v>
      </c>
      <c r="D110" s="50">
        <v>1</v>
      </c>
      <c r="E110" s="5" t="s">
        <v>15</v>
      </c>
      <c r="F110" s="108" t="s">
        <v>49</v>
      </c>
      <c r="G110" s="50">
        <f>D110</f>
        <v>1</v>
      </c>
      <c r="H110" s="5" t="s">
        <v>15</v>
      </c>
      <c r="I110" s="108" t="s">
        <v>49</v>
      </c>
    </row>
    <row r="111" spans="1:9" outlineLevel="2">
      <c r="C111" s="71" t="s">
        <v>126</v>
      </c>
      <c r="D111" s="50">
        <v>0.9</v>
      </c>
      <c r="E111" s="5" t="s">
        <v>15</v>
      </c>
      <c r="F111" s="111" t="s">
        <v>127</v>
      </c>
      <c r="G111" s="50">
        <f>D111</f>
        <v>0.9</v>
      </c>
      <c r="H111" s="5" t="s">
        <v>15</v>
      </c>
      <c r="I111" s="111" t="s">
        <v>127</v>
      </c>
    </row>
    <row r="112" spans="1:9" outlineLevel="1">
      <c r="B112" s="66" t="s">
        <v>28</v>
      </c>
      <c r="D112" s="49"/>
      <c r="F112" s="112"/>
      <c r="G112" s="49"/>
      <c r="I112" s="112"/>
    </row>
    <row r="113" spans="1:9" outlineLevel="2">
      <c r="C113" s="71" t="s">
        <v>73</v>
      </c>
      <c r="D113" s="62">
        <f ca="1">D105*D109*D95</f>
        <v>58.607576129549521</v>
      </c>
      <c r="E113" s="46" t="s">
        <v>50</v>
      </c>
      <c r="F113" s="108" t="s">
        <v>49</v>
      </c>
      <c r="G113" s="62">
        <f ca="1">G105*G109*G95</f>
        <v>811.09724666236866</v>
      </c>
      <c r="H113" s="46" t="s">
        <v>50</v>
      </c>
      <c r="I113" s="108" t="s">
        <v>49</v>
      </c>
    </row>
    <row r="114" spans="1:9" outlineLevel="2">
      <c r="C114" s="71" t="s">
        <v>74</v>
      </c>
      <c r="D114" s="62">
        <f ca="1">D106*D110*D96</f>
        <v>0</v>
      </c>
      <c r="E114" s="46" t="s">
        <v>50</v>
      </c>
      <c r="F114" s="108" t="s">
        <v>49</v>
      </c>
      <c r="G114" s="62">
        <f ca="1">G106*G110*G96</f>
        <v>0</v>
      </c>
      <c r="H114" s="46" t="s">
        <v>50</v>
      </c>
      <c r="I114" s="108" t="s">
        <v>49</v>
      </c>
    </row>
    <row r="115" spans="1:9" outlineLevel="2">
      <c r="C115" s="71" t="s">
        <v>75</v>
      </c>
      <c r="D115" s="62">
        <f ca="1">D107*D111*D97</f>
        <v>61.336366200307069</v>
      </c>
      <c r="E115" s="46" t="s">
        <v>50</v>
      </c>
      <c r="F115" s="108" t="s">
        <v>49</v>
      </c>
      <c r="G115" s="62">
        <f ca="1">G107*G111*G97</f>
        <v>977.84623235352956</v>
      </c>
      <c r="H115" s="46" t="s">
        <v>50</v>
      </c>
      <c r="I115" s="108" t="s">
        <v>49</v>
      </c>
    </row>
    <row r="116" spans="1:9" outlineLevel="1">
      <c r="B116" s="66" t="s">
        <v>77</v>
      </c>
      <c r="D116" s="49"/>
      <c r="G116" s="49"/>
    </row>
    <row r="117" spans="1:9" outlineLevel="2">
      <c r="C117" s="71" t="s">
        <v>16</v>
      </c>
      <c r="D117" s="61">
        <v>1300000</v>
      </c>
      <c r="E117" s="48" t="s">
        <v>151</v>
      </c>
      <c r="F117" s="108" t="s">
        <v>49</v>
      </c>
      <c r="G117" s="61">
        <v>2100000</v>
      </c>
      <c r="H117" s="48" t="s">
        <v>151</v>
      </c>
      <c r="I117" s="108" t="s">
        <v>49</v>
      </c>
    </row>
    <row r="118" spans="1:9" s="96" customFormat="1" outlineLevel="2">
      <c r="A118" s="5"/>
      <c r="B118" s="5"/>
      <c r="C118" s="71" t="s">
        <v>5</v>
      </c>
      <c r="D118" s="61">
        <v>0</v>
      </c>
      <c r="E118" s="48" t="s">
        <v>52</v>
      </c>
      <c r="F118" s="48" t="s">
        <v>152</v>
      </c>
      <c r="G118" s="61">
        <v>0</v>
      </c>
      <c r="H118" s="48" t="s">
        <v>52</v>
      </c>
      <c r="I118" s="48" t="s">
        <v>152</v>
      </c>
    </row>
    <row r="119" spans="1:9" s="96" customFormat="1" outlineLevel="1">
      <c r="A119" s="5"/>
      <c r="B119" s="66" t="s">
        <v>4</v>
      </c>
      <c r="C119" s="71"/>
      <c r="D119" s="49"/>
      <c r="E119" s="39"/>
      <c r="F119" s="97"/>
      <c r="G119" s="49"/>
      <c r="H119" s="39"/>
      <c r="I119" s="97"/>
    </row>
    <row r="120" spans="1:9" s="96" customFormat="1" outlineLevel="2">
      <c r="A120" s="5"/>
      <c r="B120" s="5"/>
      <c r="C120" s="71" t="s">
        <v>30</v>
      </c>
      <c r="D120" s="32">
        <v>5</v>
      </c>
      <c r="E120" s="48" t="s">
        <v>52</v>
      </c>
      <c r="F120" s="97" t="s">
        <v>49</v>
      </c>
      <c r="G120" s="32">
        <v>5</v>
      </c>
      <c r="H120" s="48" t="s">
        <v>52</v>
      </c>
      <c r="I120" s="97" t="s">
        <v>49</v>
      </c>
    </row>
    <row r="121" spans="1:9" s="96" customFormat="1" outlineLevel="2">
      <c r="A121" s="5"/>
      <c r="B121" s="5"/>
      <c r="C121" s="71" t="s">
        <v>27</v>
      </c>
      <c r="D121" s="32">
        <f>D120-0.5</f>
        <v>4.5</v>
      </c>
      <c r="E121" s="48" t="s">
        <v>52</v>
      </c>
      <c r="F121" s="83" t="s">
        <v>78</v>
      </c>
      <c r="G121" s="32">
        <f>G120-0.5</f>
        <v>4.5</v>
      </c>
      <c r="H121" s="48" t="s">
        <v>52</v>
      </c>
      <c r="I121" s="83" t="s">
        <v>78</v>
      </c>
    </row>
    <row r="122" spans="1:9" s="96" customFormat="1" outlineLevel="2">
      <c r="A122" s="5"/>
      <c r="B122" s="5"/>
      <c r="C122" s="71" t="s">
        <v>4</v>
      </c>
      <c r="D122" s="31">
        <f ca="1">(D120*(D117+D118))/(D121*(D113+D114+D115))</f>
        <v>12042.662733830217</v>
      </c>
      <c r="E122" s="46" t="s">
        <v>50</v>
      </c>
      <c r="F122" s="40" t="s">
        <v>188</v>
      </c>
      <c r="G122" s="31">
        <f ca="1">(G120*(G117+G118))/(G121*(G113+G114+G115))</f>
        <v>1304.3080235362747</v>
      </c>
      <c r="H122" s="46" t="s">
        <v>50</v>
      </c>
      <c r="I122" s="97" t="s">
        <v>49</v>
      </c>
    </row>
    <row r="123" spans="1:9" s="96" customFormat="1" outlineLevel="2">
      <c r="A123" s="5"/>
      <c r="B123" s="5"/>
      <c r="C123" s="71"/>
      <c r="D123" s="29"/>
      <c r="E123" s="39"/>
      <c r="F123" s="97"/>
      <c r="G123" s="29"/>
      <c r="H123" s="39"/>
      <c r="I123" s="97"/>
    </row>
    <row r="124" spans="1:9" s="96" customFormat="1" outlineLevel="2">
      <c r="A124" s="5"/>
      <c r="B124" s="5"/>
      <c r="C124" s="71" t="s">
        <v>9</v>
      </c>
      <c r="D124" s="33">
        <f ca="1">3400/D122</f>
        <v>0.2823295873302778</v>
      </c>
      <c r="E124" s="5" t="s">
        <v>8</v>
      </c>
      <c r="F124" s="97" t="s">
        <v>49</v>
      </c>
      <c r="G124" s="33">
        <f ca="1">3400/G122</f>
        <v>2.6067462122803087</v>
      </c>
      <c r="H124" s="5" t="s">
        <v>8</v>
      </c>
      <c r="I124" s="97" t="s">
        <v>49</v>
      </c>
    </row>
    <row r="125" spans="1:9" s="96" customFormat="1">
      <c r="A125" s="5"/>
      <c r="B125" s="5"/>
      <c r="C125" s="71"/>
      <c r="D125" s="30"/>
      <c r="E125" s="46"/>
      <c r="F125" s="97"/>
      <c r="G125" s="30"/>
      <c r="H125" s="46"/>
      <c r="I125" s="97"/>
    </row>
    <row r="126" spans="1:9" s="96" customFormat="1">
      <c r="A126" s="5"/>
      <c r="B126" s="5"/>
      <c r="C126" s="71" t="s">
        <v>178</v>
      </c>
      <c r="D126" s="114">
        <f ca="1">G102</f>
        <v>1.9335957792625279E-2</v>
      </c>
      <c r="E126" s="46" t="s">
        <v>50</v>
      </c>
      <c r="F126" s="122" t="s">
        <v>192</v>
      </c>
      <c r="G126" s="30"/>
      <c r="H126" s="46"/>
      <c r="I126" s="97"/>
    </row>
  </sheetData>
  <pageMargins left="0.75" right="0.75" top="1" bottom="1" header="0.5" footer="0.5"/>
  <pageSetup orientation="portrait" horizontalDpi="4294967292" verticalDpi="4294967292"/>
  <extLst>
    <ext xmlns:x14="http://schemas.microsoft.com/office/spreadsheetml/2009/9/main" uri="{CCE6A557-97BC-4b89-ADB6-D9C93CAAB3DF}">
      <x14:dataValidations xmlns:xm="http://schemas.microsoft.com/office/excel/2006/main" count="4">
        <x14:dataValidation type="list" allowBlank="1" showInputMessage="1" showErrorMessage="1" errorTitle="Binary answers only" error="We accept &quot;Yes&quot; and &quot;No&quot;.">
          <x14:formula1>
            <xm:f>'Additional Inputs'!$M$12:$M$13</xm:f>
          </x14:formula1>
          <xm:sqref>D76 G76 D67 G67</xm:sqref>
        </x14:dataValidation>
        <x14:dataValidation type="list" allowBlank="1" showInputMessage="1" showErrorMessage="1">
          <x14:formula1>
            <xm:f>'Additional Inputs'!$M$9:$M$10</xm:f>
          </x14:formula1>
          <xm:sqref>D22 G22</xm:sqref>
        </x14:dataValidation>
        <x14:dataValidation type="list" allowBlank="1" showInputMessage="1" showErrorMessage="1">
          <x14:formula1>
            <xm:f>'Additional Inputs'!$M$2:$M$3</xm:f>
          </x14:formula1>
          <xm:sqref>D20 G20</xm:sqref>
        </x14:dataValidation>
        <x14:dataValidation type="list" allowBlank="1" showInputMessage="1" showErrorMessage="1">
          <x14:formula1>
            <xm:f>'Additional Inputs'!$M$5:$M$6</xm:f>
          </x14:formula1>
          <xm:sqref>D21 G21</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W25"/>
  <sheetViews>
    <sheetView workbookViewId="0">
      <selection activeCell="B8" sqref="B8:E8"/>
    </sheetView>
  </sheetViews>
  <sheetFormatPr baseColWidth="10" defaultColWidth="8.83203125" defaultRowHeight="15" outlineLevelCol="1" x14ac:dyDescent="0"/>
  <cols>
    <col min="1" max="1" width="67.33203125" customWidth="1"/>
    <col min="2" max="6" width="11.1640625" customWidth="1"/>
    <col min="12" max="12" width="8.83203125" collapsed="1"/>
    <col min="13" max="23" width="8.83203125" hidden="1" customWidth="1" outlineLevel="1"/>
  </cols>
  <sheetData>
    <row r="1" spans="1:13">
      <c r="A1" s="1" t="s">
        <v>35</v>
      </c>
      <c r="G1" s="6"/>
      <c r="H1" s="6"/>
      <c r="I1" s="6"/>
      <c r="K1" s="6"/>
      <c r="L1" s="6"/>
      <c r="M1" s="64" t="s">
        <v>79</v>
      </c>
    </row>
    <row r="2" spans="1:13">
      <c r="A2" t="s">
        <v>170</v>
      </c>
      <c r="H2" s="6"/>
      <c r="I2" s="6"/>
      <c r="K2" s="6"/>
      <c r="L2" s="6"/>
      <c r="M2" t="str">
        <f>B4</f>
        <v>RCT Results</v>
      </c>
    </row>
    <row r="3" spans="1:13" ht="16" thickBot="1">
      <c r="H3" s="6"/>
      <c r="I3" s="6"/>
      <c r="K3" s="6"/>
      <c r="L3" s="6"/>
      <c r="M3" t="str">
        <f>F4</f>
        <v>Custom</v>
      </c>
    </row>
    <row r="4" spans="1:13">
      <c r="B4" s="8" t="s">
        <v>35</v>
      </c>
      <c r="C4" s="9" t="s">
        <v>35</v>
      </c>
      <c r="D4" s="9" t="s">
        <v>35</v>
      </c>
      <c r="E4" s="10" t="s">
        <v>35</v>
      </c>
      <c r="F4" s="85" t="s">
        <v>44</v>
      </c>
    </row>
    <row r="5" spans="1:13">
      <c r="B5" s="18" t="s">
        <v>32</v>
      </c>
      <c r="C5" s="19" t="s">
        <v>32</v>
      </c>
      <c r="D5" s="19" t="s">
        <v>33</v>
      </c>
      <c r="E5" s="20" t="s">
        <v>33</v>
      </c>
      <c r="F5" s="20"/>
      <c r="M5" t="str">
        <f>B5</f>
        <v>Received</v>
      </c>
    </row>
    <row r="6" spans="1:13">
      <c r="A6" s="35" t="s">
        <v>161</v>
      </c>
      <c r="B6" s="15" t="s">
        <v>34</v>
      </c>
      <c r="C6" s="16" t="s">
        <v>31</v>
      </c>
      <c r="D6" s="16" t="s">
        <v>34</v>
      </c>
      <c r="E6" s="17" t="s">
        <v>31</v>
      </c>
      <c r="F6" s="17"/>
      <c r="M6" t="str">
        <f>D5</f>
        <v>Sought</v>
      </c>
    </row>
    <row r="7" spans="1:13" hidden="1">
      <c r="A7" s="36" t="s">
        <v>36</v>
      </c>
      <c r="B7" s="21" t="str">
        <f>B4&amp;B5&amp;B6</f>
        <v>RCT ResultsReceivedUnadjusted</v>
      </c>
      <c r="C7" s="22" t="str">
        <f t="shared" ref="C7:F7" si="0">C4&amp;C5&amp;C6</f>
        <v>RCT ResultsReceivedAdjusted</v>
      </c>
      <c r="D7" s="22" t="str">
        <f t="shared" si="0"/>
        <v>RCT ResultsSoughtUnadjusted</v>
      </c>
      <c r="E7" s="23" t="str">
        <f t="shared" si="0"/>
        <v>RCT ResultsSoughtAdjusted</v>
      </c>
      <c r="F7" s="23" t="str">
        <f t="shared" si="0"/>
        <v>Custom</v>
      </c>
    </row>
    <row r="8" spans="1:13">
      <c r="A8" s="2" t="str">
        <f>'RCT Prediction'!C24</f>
        <v>Baseline treatment for cough or fast/difficult breathing in Burkina Faso</v>
      </c>
      <c r="B8" s="89">
        <f>(302*0.282+382*0.27)/(302+382)</f>
        <v>0.27529824561403504</v>
      </c>
      <c r="C8" s="90">
        <f>(302*0.282+382*0.27)/(302+382)</f>
        <v>0.27529824561403504</v>
      </c>
      <c r="D8" s="90">
        <f>(759*0.557+736*0.433)/(759+736)</f>
        <v>0.49595384615384619</v>
      </c>
      <c r="E8" s="91">
        <f>(759*0.557+736*0.433)/(759+736)</f>
        <v>0.49595384615384619</v>
      </c>
      <c r="F8" s="117"/>
    </row>
    <row r="9" spans="1:13">
      <c r="A9" s="2" t="str">
        <f>'RCT Prediction'!C25</f>
        <v>Baseline treatment for fever in Burkina Faso</v>
      </c>
      <c r="B9" s="92">
        <f>(735*0.173+639*0.169)/(735+639)</f>
        <v>0.17113973799126639</v>
      </c>
      <c r="C9" s="7">
        <f>(735*0.173+639*0.169)/(735+639)</f>
        <v>0.17113973799126639</v>
      </c>
      <c r="D9" s="7">
        <f>(735*0.637+637*0.502)/(735+637)</f>
        <v>0.57432142857142865</v>
      </c>
      <c r="E9" s="12">
        <f>(735*0.637+637*0.502)/(735+637)</f>
        <v>0.57432142857142865</v>
      </c>
      <c r="F9" s="117"/>
      <c r="M9" t="str">
        <f>B6</f>
        <v>Unadjusted</v>
      </c>
    </row>
    <row r="10" spans="1:13" ht="16" thickBot="1">
      <c r="A10" s="2" t="str">
        <f>'RCT Prediction'!C26</f>
        <v>Baseline treatment for diarrhea in Burkina Faso</v>
      </c>
      <c r="B10" s="93">
        <f>(560*0.266+516*0.167)/(560+516)</f>
        <v>0.21852416356877324</v>
      </c>
      <c r="C10" s="94">
        <f>(560*0.266+516*0.167)/(560+516)</f>
        <v>0.21852416356877324</v>
      </c>
      <c r="D10" s="94">
        <f>(559*0.578+514*0.449)/(559+514)</f>
        <v>0.51620503261882567</v>
      </c>
      <c r="E10" s="95">
        <f>(559*0.578+514*0.449)/(559+514)</f>
        <v>0.51620503261882567</v>
      </c>
      <c r="F10" s="118"/>
      <c r="M10" t="str">
        <f>C6</f>
        <v>Adjusted</v>
      </c>
    </row>
    <row r="11" spans="1:13">
      <c r="A11" s="2" t="str">
        <f>'RCT Prediction'!C27</f>
        <v>Increase in treatment for cough or fast/difficult breathing due to the campaign in Burkina Faso</v>
      </c>
      <c r="B11" s="86">
        <v>0.112</v>
      </c>
      <c r="C11" s="87">
        <v>0.14799999999999999</v>
      </c>
      <c r="D11" s="87">
        <v>6.6000000000000003E-2</v>
      </c>
      <c r="E11" s="88">
        <v>0.10300000000000001</v>
      </c>
      <c r="F11" s="119"/>
    </row>
    <row r="12" spans="1:13">
      <c r="A12" s="2" t="str">
        <f>'RCT Prediction'!C28</f>
        <v>Increase in treatment for fever due to the campaign in Burkina Faso</v>
      </c>
      <c r="B12" s="11">
        <v>0</v>
      </c>
      <c r="C12" s="7">
        <v>0</v>
      </c>
      <c r="D12" s="7">
        <v>6.0999999999999999E-2</v>
      </c>
      <c r="E12" s="12">
        <v>9.0999999999999998E-2</v>
      </c>
      <c r="F12" s="120"/>
      <c r="M12" t="s">
        <v>19</v>
      </c>
    </row>
    <row r="13" spans="1:13" ht="16" thickBot="1">
      <c r="A13" s="2" t="str">
        <f>'RCT Prediction'!C29</f>
        <v>Increase in treatment for diarrhea due to the campaign in Burkina Faso</v>
      </c>
      <c r="B13" s="13">
        <v>0.1</v>
      </c>
      <c r="C13" s="14">
        <v>8.1000000000000003E-2</v>
      </c>
      <c r="D13" s="14">
        <v>0.129</v>
      </c>
      <c r="E13" s="24">
        <v>0.16</v>
      </c>
      <c r="F13" s="121"/>
      <c r="M13" t="s">
        <v>20</v>
      </c>
    </row>
    <row r="14" spans="1:13">
      <c r="G14" s="6"/>
    </row>
    <row r="15" spans="1:13">
      <c r="G15" s="6"/>
    </row>
    <row r="22" ht="30" customHeight="1"/>
    <row r="25" ht="24" customHeight="1"/>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RCT Prediction</vt:lpstr>
      <vt:lpstr>Additional Inputs</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2014-07-16T05:40:47Z</dcterms:created>
  <dcterms:modified xsi:type="dcterms:W3CDTF">2015-05-22T18:54:28Z</dcterms:modified>
</cp:coreProperties>
</file>